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Admin\Desktop\TIEN LUONG THUAN BAC\DU LIEU DANG HSMT THUAN BAC D2\CHUONG DINH KEM\"/>
    </mc:Choice>
  </mc:AlternateContent>
  <xr:revisionPtr revIDLastSave="0" documentId="13_ncr:1_{8A1C3FBF-767F-4FCA-AE1F-9BA13A31749C}" xr6:coauthVersionLast="47" xr6:coauthVersionMax="47" xr10:uidLastSave="{00000000-0000-0000-0000-000000000000}"/>
  <bookViews>
    <workbookView xWindow="-120" yWindow="-120" windowWidth="29040" windowHeight="15720" tabRatio="913" firstSheet="8" activeTab="8" xr2:uid="{00000000-000D-0000-FFFF-FFFF00000000}"/>
  </bookViews>
  <sheets>
    <sheet name="Bia tap 1" sheetId="119" state="hidden" r:id="rId1"/>
    <sheet name="Bia tap 2" sheetId="118" state="hidden" r:id="rId2"/>
    <sheet name="Bia tap 3" sheetId="70" state="hidden" r:id="rId3"/>
    <sheet name="1.Thop Sua" sheetId="120" state="hidden" r:id="rId4"/>
    <sheet name="1.Thop no in" sheetId="92" state="hidden" r:id="rId5"/>
    <sheet name="CDL" sheetId="127" state="hidden" r:id="rId6"/>
    <sheet name="1" sheetId="129" state="hidden" r:id="rId7"/>
    <sheet name="TIEN LUONG" sheetId="128" state="hidden" r:id="rId8"/>
    <sheet name="B. CHI TIET" sheetId="100" r:id="rId9"/>
    <sheet name="Gia VT" sheetId="126" state="hidden" r:id="rId10"/>
    <sheet name="TK TA" sheetId="113" state="hidden" r:id="rId11"/>
    <sheet name="TK TBA" sheetId="106" state="hidden" r:id="rId12"/>
    <sheet name="TBA-ko" sheetId="97" state="hidden" r:id="rId13"/>
    <sheet name="TK HA AP" sheetId="117" state="hidden" r:id="rId14"/>
    <sheet name="THKĐ" sheetId="125" state="hidden" r:id="rId15"/>
    <sheet name="3.THCPKĐ" sheetId="124" state="hidden" r:id="rId16"/>
    <sheet name="Thop-Thí nghiệm" sheetId="123" state="hidden" r:id="rId17"/>
    <sheet name="Bang tong hop Kiem dinh (TT05)" sheetId="122" state="hidden" r:id="rId18"/>
    <sheet name="5.VTTH" sheetId="68" state="hidden" r:id="rId19"/>
    <sheet name="May TC" sheetId="121" state="hidden" r:id="rId20"/>
    <sheet name="4.VCBD" sheetId="64" state="hidden" r:id="rId21"/>
    <sheet name="2.THOP-NC+MTC" sheetId="46" state="hidden" r:id="rId22"/>
    <sheet name="Pt ca may" sheetId="105" state="hidden" r:id="rId23"/>
    <sheet name="cuocvc" sheetId="84" state="hidden" r:id="rId24"/>
  </sheets>
  <externalReferences>
    <externalReference r:id="rId25"/>
    <externalReference r:id="rId26"/>
    <externalReference r:id="rId27"/>
    <externalReference r:id="rId28"/>
    <externalReference r:id="rId29"/>
  </externalReferences>
  <definedNames>
    <definedName name="_Builtin155" hidden="1">#N/A</definedName>
    <definedName name="_Fill" localSheetId="3" hidden="1">#REF!</definedName>
    <definedName name="_Fill" localSheetId="0" hidden="1">#REF!</definedName>
    <definedName name="_Fill" localSheetId="1" hidden="1">#REF!</definedName>
    <definedName name="_Fill" hidden="1">#REF!</definedName>
    <definedName name="_xlnm._FilterDatabase" localSheetId="8" hidden="1">'B. CHI TIET'!$A$7:$AB$180</definedName>
    <definedName name="_xlnm._FilterDatabase" localSheetId="5" hidden="1">CDL!$A$7:$AB$280</definedName>
    <definedName name="_xlnm._FilterDatabase" localSheetId="7" hidden="1">'TIEN LUONG'!$A$6:$H$126</definedName>
    <definedName name="_xlnm._FilterDatabase" localSheetId="10" hidden="1">'TK TA'!$A$4:$CF$146</definedName>
    <definedName name="_Key1" localSheetId="3" hidden="1">#REF!</definedName>
    <definedName name="_Key1" localSheetId="0" hidden="1">#REF!</definedName>
    <definedName name="_Key1" localSheetId="1" hidden="1">#REF!</definedName>
    <definedName name="_Key1" hidden="1">#REF!</definedName>
    <definedName name="_Key2" localSheetId="3" hidden="1">#REF!</definedName>
    <definedName name="_Key2" localSheetId="0" hidden="1">#REF!</definedName>
    <definedName name="_Key2" localSheetId="1" hidden="1">#REF!</definedName>
    <definedName name="_Key2" hidden="1">#REF!</definedName>
    <definedName name="_Order1" hidden="1">255</definedName>
    <definedName name="_Order2" hidden="1">255</definedName>
    <definedName name="_Sort" localSheetId="3" hidden="1">#REF!</definedName>
    <definedName name="_Sort" localSheetId="0" hidden="1">#REF!</definedName>
    <definedName name="_Sort" localSheetId="1" hidden="1">#REF!</definedName>
    <definedName name="_Sort" hidden="1">#REF!</definedName>
    <definedName name="BL16x250">'[1]Bang gia VTTB'!$D$27</definedName>
    <definedName name="BL16x300">'[1]Bang gia VTTB'!$D$28</definedName>
    <definedName name="BL16x40">'[1]Bang gia VTTB'!$D$22</definedName>
    <definedName name="BL16x400VRS">'[1]Bang gia VTTB'!$D$39</definedName>
    <definedName name="BL16x500VRS">'[1]Bang gia VTTB'!$D$40</definedName>
    <definedName name="bl16x650VRS">'[1]Bang gia VTTB'!$D$43</definedName>
    <definedName name="BL22x500VRS">'[1]Bang gia VTTB'!$D$46</definedName>
    <definedName name="CĐSƯ" localSheetId="3" hidden="1">#REF!</definedName>
    <definedName name="CĐSƯ" hidden="1">#REF!</definedName>
    <definedName name="DCDCEWDƯE" localSheetId="3" hidden="1">#REF!</definedName>
    <definedName name="DCDCEWDƯE" hidden="1">#REF!</definedName>
    <definedName name="dgvl">'[2]DG vat lieu'!$B:$G</definedName>
    <definedName name="ề">'[3]Bang gia VTTB'!$D$44</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LD.18">'[1]Bang gia VTTB'!$D$52</definedName>
    <definedName name="ld.24">'[1]Bang gia VTTB'!$D$54</definedName>
    <definedName name="_xlnm.Print_Titles" localSheetId="6">'1'!$5:$7</definedName>
    <definedName name="_xlnm.Print_Titles" localSheetId="21">'2.THOP-NC+MTC'!$5:$7</definedName>
    <definedName name="_xlnm.Print_Titles" localSheetId="18">'5.VTTH'!$4:$6</definedName>
    <definedName name="_xlnm.Print_Titles" localSheetId="8">'B. CHI TIET'!$5:$7</definedName>
    <definedName name="_xlnm.Print_Titles" localSheetId="5">CDL!$5:$7</definedName>
    <definedName name="_xlnm.Print_Titles" localSheetId="13">'TK HA AP'!$3:$4</definedName>
    <definedName name="_xlnm.Print_Titles" localSheetId="10">'TK TA'!$3:$4</definedName>
    <definedName name="_xlnm.Print_Titles" localSheetId="11">'TK TBA'!$4:$5</definedName>
    <definedName name="SDDCD" localSheetId="3" hidden="1">#REF!</definedName>
    <definedName name="SDDCD" hidden="1">#REF!</definedName>
    <definedName name="xcvcxv" localSheetId="3" hidden="1">#REF!</definedName>
    <definedName name="xcvcxv" localSheetId="0" hidden="1">#REF!</definedName>
    <definedName name="xcvcxv" localSheetId="1" hidden="1">#REF!</definedName>
    <definedName name="xcvcxv"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6" i="128" l="1"/>
  <c r="D114" i="128"/>
  <c r="O120" i="129" s="1"/>
  <c r="D113" i="128"/>
  <c r="O119" i="129" s="1"/>
  <c r="D112" i="128"/>
  <c r="D111" i="128"/>
  <c r="D110" i="128"/>
  <c r="D109" i="128"/>
  <c r="O115" i="129" s="1"/>
  <c r="D108" i="128"/>
  <c r="O114" i="129" s="1"/>
  <c r="D99" i="128"/>
  <c r="D100" i="128" s="1"/>
  <c r="M104" i="129" s="1"/>
  <c r="D97" i="128"/>
  <c r="D98" i="128" s="1"/>
  <c r="D95" i="128"/>
  <c r="O99" i="129" s="1"/>
  <c r="D82" i="128"/>
  <c r="O85" i="129" s="1"/>
  <c r="D81" i="128"/>
  <c r="O84" i="129" s="1"/>
  <c r="D80" i="128"/>
  <c r="O83" i="129" s="1"/>
  <c r="D79" i="128"/>
  <c r="O82" i="129" s="1"/>
  <c r="D78" i="128"/>
  <c r="D77" i="128"/>
  <c r="O80" i="129" s="1"/>
  <c r="D76" i="128"/>
  <c r="L79" i="129" s="1"/>
  <c r="D75" i="128"/>
  <c r="O78" i="129" s="1"/>
  <c r="D74" i="128"/>
  <c r="M77" i="129" s="1"/>
  <c r="D73" i="128"/>
  <c r="L76" i="129" s="1"/>
  <c r="D72" i="128"/>
  <c r="M75" i="129" s="1"/>
  <c r="D71" i="128"/>
  <c r="M74" i="129" s="1"/>
  <c r="D70" i="128"/>
  <c r="M73" i="129" s="1"/>
  <c r="D69" i="128"/>
  <c r="O72" i="129" s="1"/>
  <c r="D68" i="128"/>
  <c r="D67" i="128"/>
  <c r="O70" i="129" s="1"/>
  <c r="D66" i="128"/>
  <c r="M69" i="129" s="1"/>
  <c r="O128" i="129"/>
  <c r="N128" i="129"/>
  <c r="M128" i="129"/>
  <c r="L128" i="129"/>
  <c r="O127" i="129"/>
  <c r="N127" i="129"/>
  <c r="M127" i="129"/>
  <c r="L127" i="129"/>
  <c r="O126" i="129"/>
  <c r="N126" i="129"/>
  <c r="M126" i="129"/>
  <c r="L126" i="129"/>
  <c r="O125" i="129"/>
  <c r="N125" i="129"/>
  <c r="M125" i="129"/>
  <c r="L125" i="129"/>
  <c r="O124" i="129"/>
  <c r="N124" i="129"/>
  <c r="M124" i="129"/>
  <c r="L124" i="129"/>
  <c r="O123" i="129"/>
  <c r="N123" i="129"/>
  <c r="M123" i="129"/>
  <c r="L123" i="129"/>
  <c r="K122" i="129"/>
  <c r="O122" i="129" s="1"/>
  <c r="J122" i="129"/>
  <c r="N122" i="129" s="1"/>
  <c r="M122" i="129"/>
  <c r="I120" i="129"/>
  <c r="I119" i="129"/>
  <c r="O118" i="129"/>
  <c r="L118" i="129"/>
  <c r="I118" i="129"/>
  <c r="N118" i="129"/>
  <c r="I117" i="129"/>
  <c r="M117" i="129" s="1"/>
  <c r="N117" i="129"/>
  <c r="I116" i="129"/>
  <c r="M116" i="129" s="1"/>
  <c r="L116" i="129"/>
  <c r="O112" i="129"/>
  <c r="N112" i="129"/>
  <c r="M112" i="129"/>
  <c r="O110" i="129"/>
  <c r="N110" i="129"/>
  <c r="M110" i="129"/>
  <c r="O108" i="129"/>
  <c r="N108" i="129"/>
  <c r="M108" i="129"/>
  <c r="K104" i="129"/>
  <c r="J104" i="129"/>
  <c r="I103" i="129"/>
  <c r="K102" i="129"/>
  <c r="J102" i="129"/>
  <c r="I101" i="129"/>
  <c r="M101" i="129" s="1"/>
  <c r="J100" i="129"/>
  <c r="I99" i="129"/>
  <c r="O97" i="129"/>
  <c r="N97" i="129"/>
  <c r="M97" i="129"/>
  <c r="L97" i="129"/>
  <c r="O96" i="129"/>
  <c r="N96" i="129"/>
  <c r="M96" i="129"/>
  <c r="L96" i="129"/>
  <c r="O95" i="129"/>
  <c r="N95" i="129"/>
  <c r="M95" i="129"/>
  <c r="L95" i="129"/>
  <c r="O94" i="129"/>
  <c r="N94" i="129"/>
  <c r="M94" i="129"/>
  <c r="L94" i="129"/>
  <c r="O93" i="129"/>
  <c r="N93" i="129"/>
  <c r="M93" i="129"/>
  <c r="L93" i="129"/>
  <c r="O92" i="129"/>
  <c r="N92" i="129"/>
  <c r="M92" i="129"/>
  <c r="L92" i="129"/>
  <c r="O91" i="129"/>
  <c r="N91" i="129"/>
  <c r="M91" i="129"/>
  <c r="L91" i="129"/>
  <c r="O90" i="129"/>
  <c r="N90" i="129"/>
  <c r="M90" i="129"/>
  <c r="L90" i="129"/>
  <c r="O89" i="129"/>
  <c r="N89" i="129"/>
  <c r="M89" i="129"/>
  <c r="L89" i="129"/>
  <c r="O88" i="129"/>
  <c r="N88" i="129"/>
  <c r="M88" i="129"/>
  <c r="L88" i="129"/>
  <c r="O87" i="129"/>
  <c r="N87" i="129"/>
  <c r="M87" i="129"/>
  <c r="L87" i="129"/>
  <c r="O86" i="129"/>
  <c r="N86" i="129"/>
  <c r="M86" i="129"/>
  <c r="L86" i="129"/>
  <c r="J85" i="129"/>
  <c r="J84" i="129"/>
  <c r="J83" i="129"/>
  <c r="N83" i="129" s="1"/>
  <c r="J82" i="129"/>
  <c r="J81" i="129"/>
  <c r="O81" i="129"/>
  <c r="J80" i="129"/>
  <c r="N80" i="129" s="1"/>
  <c r="J79" i="129"/>
  <c r="J78" i="129"/>
  <c r="J77" i="129"/>
  <c r="K76" i="129"/>
  <c r="J76" i="129"/>
  <c r="K75" i="129"/>
  <c r="J75" i="129"/>
  <c r="K74" i="129"/>
  <c r="J74" i="129"/>
  <c r="K73" i="129"/>
  <c r="J73" i="129"/>
  <c r="M72" i="129"/>
  <c r="L72" i="129"/>
  <c r="J71" i="129"/>
  <c r="J72" i="129" s="1"/>
  <c r="N72" i="129" s="1"/>
  <c r="O71" i="129"/>
  <c r="J70" i="129"/>
  <c r="N70" i="129" s="1"/>
  <c r="J69" i="129"/>
  <c r="N69" i="129" s="1"/>
  <c r="O67" i="129"/>
  <c r="N67" i="129"/>
  <c r="M67" i="129"/>
  <c r="O66" i="129"/>
  <c r="N66" i="129"/>
  <c r="M66" i="129"/>
  <c r="O65" i="129"/>
  <c r="N65" i="129"/>
  <c r="M65" i="129"/>
  <c r="O64" i="129"/>
  <c r="N64" i="129"/>
  <c r="M64" i="129"/>
  <c r="O63" i="129"/>
  <c r="N63" i="129"/>
  <c r="M63" i="129"/>
  <c r="O62" i="129"/>
  <c r="N62" i="129"/>
  <c r="M62" i="129"/>
  <c r="O61" i="129"/>
  <c r="N61" i="129"/>
  <c r="M61" i="129"/>
  <c r="O60" i="129"/>
  <c r="N60" i="129"/>
  <c r="M60" i="129"/>
  <c r="O59" i="129"/>
  <c r="N59" i="129"/>
  <c r="M59" i="129"/>
  <c r="O58" i="129"/>
  <c r="N58" i="129"/>
  <c r="M58" i="129"/>
  <c r="O57" i="129"/>
  <c r="N57" i="129"/>
  <c r="M57" i="129"/>
  <c r="O56" i="129"/>
  <c r="N56" i="129"/>
  <c r="M56" i="129"/>
  <c r="O55" i="129"/>
  <c r="N55" i="129"/>
  <c r="M55" i="129"/>
  <c r="O54" i="129"/>
  <c r="N54" i="129"/>
  <c r="M54" i="129"/>
  <c r="O53" i="129"/>
  <c r="N53" i="129"/>
  <c r="M53" i="129"/>
  <c r="O52" i="129"/>
  <c r="N52" i="129"/>
  <c r="M52" i="129"/>
  <c r="O51" i="129"/>
  <c r="N51" i="129"/>
  <c r="M51" i="129"/>
  <c r="O50" i="129"/>
  <c r="N50" i="129"/>
  <c r="M50" i="129"/>
  <c r="O49" i="129"/>
  <c r="N49" i="129"/>
  <c r="M49" i="129"/>
  <c r="O48" i="129"/>
  <c r="N48" i="129"/>
  <c r="M48" i="129"/>
  <c r="O47" i="129"/>
  <c r="N47" i="129"/>
  <c r="M47" i="129"/>
  <c r="O46" i="129"/>
  <c r="N46" i="129"/>
  <c r="M46" i="129"/>
  <c r="O45" i="129"/>
  <c r="N45" i="129"/>
  <c r="M45" i="129"/>
  <c r="O44" i="129"/>
  <c r="N44" i="129"/>
  <c r="M44" i="129"/>
  <c r="O43" i="129"/>
  <c r="N43" i="129"/>
  <c r="M43" i="129"/>
  <c r="O35" i="129"/>
  <c r="N35" i="129"/>
  <c r="M35" i="129"/>
  <c r="O34" i="129"/>
  <c r="N34" i="129"/>
  <c r="M34" i="129"/>
  <c r="O33" i="129"/>
  <c r="N33" i="129"/>
  <c r="M33" i="129"/>
  <c r="O32" i="129"/>
  <c r="N32" i="129"/>
  <c r="M32" i="129"/>
  <c r="O31" i="129"/>
  <c r="N31" i="129"/>
  <c r="M31" i="129"/>
  <c r="O30" i="129"/>
  <c r="N30" i="129"/>
  <c r="M30" i="129"/>
  <c r="O29" i="129"/>
  <c r="N29" i="129"/>
  <c r="M29" i="129"/>
  <c r="O28" i="129"/>
  <c r="N28" i="129"/>
  <c r="M28" i="129"/>
  <c r="O26" i="129"/>
  <c r="N26" i="129"/>
  <c r="M26" i="129"/>
  <c r="O25" i="129"/>
  <c r="N25" i="129"/>
  <c r="M25" i="129"/>
  <c r="O24" i="129"/>
  <c r="N24" i="129"/>
  <c r="M24" i="129"/>
  <c r="O23" i="129"/>
  <c r="N23" i="129"/>
  <c r="M23" i="129"/>
  <c r="O22" i="129"/>
  <c r="N22" i="129"/>
  <c r="M22" i="129"/>
  <c r="O21" i="129"/>
  <c r="N21" i="129"/>
  <c r="M21" i="129"/>
  <c r="O20" i="129"/>
  <c r="N20" i="129"/>
  <c r="M20" i="129"/>
  <c r="O19" i="129"/>
  <c r="N19" i="129"/>
  <c r="M19" i="129"/>
  <c r="O18" i="129"/>
  <c r="N18" i="129"/>
  <c r="M18" i="129"/>
  <c r="O17" i="129"/>
  <c r="N17" i="129"/>
  <c r="M17" i="129"/>
  <c r="O16" i="129"/>
  <c r="N16" i="129"/>
  <c r="M16" i="129"/>
  <c r="O15" i="129"/>
  <c r="N15" i="129"/>
  <c r="M15" i="129"/>
  <c r="O14" i="129"/>
  <c r="N14" i="129"/>
  <c r="M14" i="129"/>
  <c r="O13" i="129"/>
  <c r="N13" i="129"/>
  <c r="M13" i="129"/>
  <c r="O12" i="129"/>
  <c r="N12" i="129"/>
  <c r="M12" i="129"/>
  <c r="O11" i="129"/>
  <c r="N11" i="129"/>
  <c r="M11" i="129"/>
  <c r="L103" i="129" l="1"/>
  <c r="M120" i="129"/>
  <c r="M103" i="129"/>
  <c r="N103" i="129"/>
  <c r="O73" i="129"/>
  <c r="L119" i="129"/>
  <c r="O75" i="129"/>
  <c r="N73" i="129"/>
  <c r="N74" i="129"/>
  <c r="M79" i="129"/>
  <c r="M119" i="129"/>
  <c r="N75" i="129"/>
  <c r="O103" i="129"/>
  <c r="N79" i="129"/>
  <c r="O79" i="129"/>
  <c r="O74" i="129"/>
  <c r="L75" i="129"/>
  <c r="N119" i="129"/>
  <c r="N102" i="129"/>
  <c r="N82" i="129"/>
  <c r="L83" i="129"/>
  <c r="O104" i="129"/>
  <c r="M83" i="129"/>
  <c r="D96" i="128"/>
  <c r="O100" i="129" s="1"/>
  <c r="N27" i="129"/>
  <c r="O27" i="129"/>
  <c r="M121" i="129"/>
  <c r="M27" i="129"/>
  <c r="N84" i="129"/>
  <c r="N121" i="129"/>
  <c r="N81" i="129"/>
  <c r="N104" i="129"/>
  <c r="N76" i="129"/>
  <c r="O121" i="129"/>
  <c r="O76" i="129"/>
  <c r="N85" i="129"/>
  <c r="M99" i="129"/>
  <c r="N77" i="129"/>
  <c r="L99" i="129"/>
  <c r="N99" i="129"/>
  <c r="L114" i="129"/>
  <c r="N71" i="129"/>
  <c r="N78" i="129"/>
  <c r="N114" i="129"/>
  <c r="L102" i="129"/>
  <c r="M102" i="129"/>
  <c r="O102" i="129"/>
  <c r="M113" i="129"/>
  <c r="N115" i="129"/>
  <c r="L80" i="129"/>
  <c r="M76" i="129"/>
  <c r="L120" i="129"/>
  <c r="N116" i="129"/>
  <c r="L77" i="129"/>
  <c r="O116" i="129"/>
  <c r="L104" i="129"/>
  <c r="N101" i="129"/>
  <c r="M85" i="129"/>
  <c r="L117" i="129"/>
  <c r="L74" i="129"/>
  <c r="M84" i="129"/>
  <c r="L73" i="129"/>
  <c r="N120" i="129"/>
  <c r="L81" i="129"/>
  <c r="M81" i="129"/>
  <c r="M70" i="129"/>
  <c r="O77" i="129"/>
  <c r="L78" i="129"/>
  <c r="L82" i="129"/>
  <c r="O117" i="129"/>
  <c r="M78" i="129"/>
  <c r="M82" i="129"/>
  <c r="L71" i="129"/>
  <c r="L122" i="129"/>
  <c r="L121" i="129" s="1"/>
  <c r="O69" i="129"/>
  <c r="L70" i="129"/>
  <c r="L115" i="129"/>
  <c r="L84" i="129"/>
  <c r="M80" i="129"/>
  <c r="L69" i="129"/>
  <c r="L101" i="129"/>
  <c r="L85" i="129"/>
  <c r="O101" i="129"/>
  <c r="M71" i="129"/>
  <c r="M118" i="129"/>
  <c r="O128" i="46"/>
  <c r="O127" i="46"/>
  <c r="O126" i="46"/>
  <c r="O125" i="46"/>
  <c r="O124" i="46"/>
  <c r="O123" i="46"/>
  <c r="K122" i="46"/>
  <c r="J122" i="46"/>
  <c r="F122" i="46"/>
  <c r="L122" i="46" s="1"/>
  <c r="I120" i="46"/>
  <c r="F120" i="46"/>
  <c r="O120" i="46" s="1"/>
  <c r="I119" i="46"/>
  <c r="F119" i="46"/>
  <c r="O119" i="46" s="1"/>
  <c r="F118" i="46"/>
  <c r="O118" i="46" s="1"/>
  <c r="I117" i="46"/>
  <c r="F117" i="46"/>
  <c r="O117" i="46" s="1"/>
  <c r="I116" i="46"/>
  <c r="F116" i="46"/>
  <c r="O116" i="46" s="1"/>
  <c r="F115" i="46"/>
  <c r="O115" i="46" s="1"/>
  <c r="F114" i="46"/>
  <c r="N114" i="46" s="1"/>
  <c r="K104" i="46"/>
  <c r="J104" i="46"/>
  <c r="I103" i="46"/>
  <c r="F103" i="46"/>
  <c r="F104" i="46" s="1"/>
  <c r="K102" i="46"/>
  <c r="J102" i="46"/>
  <c r="I101" i="46"/>
  <c r="F101" i="46"/>
  <c r="L101" i="46" s="1"/>
  <c r="J100" i="46"/>
  <c r="I99" i="46"/>
  <c r="F99" i="46"/>
  <c r="F100" i="46" s="1"/>
  <c r="O98" i="129" l="1"/>
  <c r="N68" i="129"/>
  <c r="O113" i="129"/>
  <c r="L100" i="129"/>
  <c r="N113" i="129"/>
  <c r="L113" i="129"/>
  <c r="O68" i="129"/>
  <c r="M100" i="129"/>
  <c r="M98" i="129" s="1"/>
  <c r="M68" i="129"/>
  <c r="N100" i="129"/>
  <c r="N98" i="129" s="1"/>
  <c r="L98" i="129"/>
  <c r="L68" i="129"/>
  <c r="N122" i="46"/>
  <c r="O122" i="46"/>
  <c r="O121" i="46" s="1"/>
  <c r="L124" i="46"/>
  <c r="M124" i="46"/>
  <c r="N124" i="46"/>
  <c r="N126" i="46"/>
  <c r="M122" i="46"/>
  <c r="L127" i="46"/>
  <c r="M127" i="46"/>
  <c r="N127" i="46"/>
  <c r="N128" i="46"/>
  <c r="L125" i="46"/>
  <c r="M125" i="46"/>
  <c r="N125" i="46"/>
  <c r="L126" i="46"/>
  <c r="M126" i="46"/>
  <c r="L123" i="46"/>
  <c r="M123" i="46"/>
  <c r="L128" i="46"/>
  <c r="N123" i="46"/>
  <c r="M128" i="46"/>
  <c r="O114" i="46"/>
  <c r="M116" i="46"/>
  <c r="M117" i="46"/>
  <c r="M119" i="46"/>
  <c r="M120" i="46"/>
  <c r="L117" i="46"/>
  <c r="N117" i="46"/>
  <c r="L118" i="46"/>
  <c r="N118" i="46"/>
  <c r="L119" i="46"/>
  <c r="N119" i="46"/>
  <c r="L115" i="46"/>
  <c r="L116" i="46"/>
  <c r="L120" i="46"/>
  <c r="L114" i="46"/>
  <c r="N115" i="46"/>
  <c r="N116" i="46"/>
  <c r="N120" i="46"/>
  <c r="M101" i="46"/>
  <c r="N101" i="46"/>
  <c r="O101" i="46"/>
  <c r="F102" i="46"/>
  <c r="L102" i="46" s="1"/>
  <c r="M103" i="46"/>
  <c r="O104" i="46"/>
  <c r="M99" i="46"/>
  <c r="O100" i="46"/>
  <c r="N100" i="46"/>
  <c r="M100" i="46"/>
  <c r="L100" i="46"/>
  <c r="M104" i="46"/>
  <c r="L104" i="46"/>
  <c r="N104" i="46"/>
  <c r="L99" i="46"/>
  <c r="L103" i="46"/>
  <c r="N99" i="46"/>
  <c r="O99" i="46"/>
  <c r="N103" i="46"/>
  <c r="O103" i="46"/>
  <c r="O97" i="46"/>
  <c r="O96" i="46"/>
  <c r="O95" i="46"/>
  <c r="O94" i="46"/>
  <c r="O93" i="46"/>
  <c r="N93" i="46"/>
  <c r="M93" i="46"/>
  <c r="L93" i="46"/>
  <c r="M92" i="46"/>
  <c r="N91" i="46"/>
  <c r="O90" i="46"/>
  <c r="O89" i="46"/>
  <c r="O88" i="46"/>
  <c r="N88" i="46"/>
  <c r="M88" i="46"/>
  <c r="L88" i="46"/>
  <c r="O87" i="46"/>
  <c r="O86" i="46"/>
  <c r="J85" i="46"/>
  <c r="F85" i="46"/>
  <c r="O85" i="46" s="1"/>
  <c r="J84" i="46"/>
  <c r="F84" i="46"/>
  <c r="J83" i="46"/>
  <c r="F83" i="46"/>
  <c r="O83" i="46" s="1"/>
  <c r="J82" i="46"/>
  <c r="F82" i="46"/>
  <c r="O82" i="46" s="1"/>
  <c r="J81" i="46"/>
  <c r="F81" i="46"/>
  <c r="O81" i="46" s="1"/>
  <c r="J80" i="46"/>
  <c r="F80" i="46"/>
  <c r="L80" i="46" s="1"/>
  <c r="J79" i="46"/>
  <c r="F79" i="46"/>
  <c r="O79" i="46" s="1"/>
  <c r="J78" i="46"/>
  <c r="F78" i="46"/>
  <c r="O78" i="46" s="1"/>
  <c r="J77" i="46"/>
  <c r="F77" i="46"/>
  <c r="O77" i="46" s="1"/>
  <c r="K76" i="46"/>
  <c r="J76" i="46"/>
  <c r="F76" i="46"/>
  <c r="M76" i="46" s="1"/>
  <c r="K75" i="46"/>
  <c r="J75" i="46"/>
  <c r="F75" i="46"/>
  <c r="M75" i="46" s="1"/>
  <c r="K74" i="46"/>
  <c r="J74" i="46"/>
  <c r="F74" i="46"/>
  <c r="M74" i="46" s="1"/>
  <c r="K73" i="46"/>
  <c r="J73" i="46"/>
  <c r="F73" i="46"/>
  <c r="F72" i="46"/>
  <c r="M72" i="46" s="1"/>
  <c r="J71" i="46"/>
  <c r="J72" i="46" s="1"/>
  <c r="F71" i="46"/>
  <c r="O71" i="46" s="1"/>
  <c r="J70" i="46"/>
  <c r="F70" i="46"/>
  <c r="O70" i="46" s="1"/>
  <c r="J69" i="46"/>
  <c r="F69" i="46"/>
  <c r="F169" i="127"/>
  <c r="J169" i="127" s="1"/>
  <c r="I169" i="127"/>
  <c r="K169" i="127"/>
  <c r="L169" i="127"/>
  <c r="F170" i="127"/>
  <c r="J170" i="127" s="1"/>
  <c r="I170" i="127"/>
  <c r="K170" i="127"/>
  <c r="L170" i="127"/>
  <c r="D171" i="127"/>
  <c r="I171" i="127" s="1"/>
  <c r="G171" i="127"/>
  <c r="K171" i="127" s="1"/>
  <c r="F172" i="127"/>
  <c r="I172" i="127"/>
  <c r="J172" i="127"/>
  <c r="K172" i="127"/>
  <c r="L172" i="127"/>
  <c r="F173" i="127"/>
  <c r="J173" i="127" s="1"/>
  <c r="I173" i="127"/>
  <c r="K173" i="127"/>
  <c r="L173" i="127"/>
  <c r="F174" i="127"/>
  <c r="J174" i="127" s="1"/>
  <c r="I174" i="127"/>
  <c r="K174" i="127"/>
  <c r="L174" i="127"/>
  <c r="F175" i="127"/>
  <c r="J175" i="127" s="1"/>
  <c r="I175" i="127"/>
  <c r="K175" i="127"/>
  <c r="L175" i="127"/>
  <c r="F176" i="127"/>
  <c r="J176" i="127" s="1"/>
  <c r="I176" i="127"/>
  <c r="K176" i="127"/>
  <c r="L176" i="127"/>
  <c r="F177" i="127"/>
  <c r="J177" i="127" s="1"/>
  <c r="I177" i="127"/>
  <c r="K177" i="127"/>
  <c r="L177" i="127"/>
  <c r="N169" i="127"/>
  <c r="N63" i="46"/>
  <c r="O58" i="46"/>
  <c r="N58" i="46"/>
  <c r="M58" i="46"/>
  <c r="O57" i="46"/>
  <c r="N55" i="46"/>
  <c r="O53" i="46"/>
  <c r="O45" i="46"/>
  <c r="O43" i="46"/>
  <c r="N43" i="46"/>
  <c r="M43" i="46"/>
  <c r="M33" i="46"/>
  <c r="N32" i="46"/>
  <c r="O31" i="46"/>
  <c r="N31" i="46"/>
  <c r="O30" i="46"/>
  <c r="O29" i="46"/>
  <c r="O28" i="46"/>
  <c r="Q115" i="127"/>
  <c r="N160" i="127"/>
  <c r="L280" i="127"/>
  <c r="L279" i="127" s="1"/>
  <c r="K280" i="127"/>
  <c r="J280" i="127"/>
  <c r="I280" i="127"/>
  <c r="I279" i="127" s="1"/>
  <c r="J256" i="127"/>
  <c r="I256" i="127"/>
  <c r="H256" i="127"/>
  <c r="L256" i="127" s="1"/>
  <c r="G256" i="127"/>
  <c r="K256" i="127" s="1"/>
  <c r="L255" i="127"/>
  <c r="K255" i="127"/>
  <c r="I255" i="127"/>
  <c r="L254" i="127"/>
  <c r="K254" i="127"/>
  <c r="I254" i="127"/>
  <c r="F254" i="127"/>
  <c r="J254" i="127" s="1"/>
  <c r="J251" i="127"/>
  <c r="I251" i="127"/>
  <c r="L250" i="127"/>
  <c r="J250" i="127"/>
  <c r="I250" i="127"/>
  <c r="L249" i="127"/>
  <c r="K249" i="127"/>
  <c r="I249" i="127"/>
  <c r="L248" i="127"/>
  <c r="K248" i="127"/>
  <c r="I248" i="127"/>
  <c r="L247" i="127"/>
  <c r="K247" i="127"/>
  <c r="I247" i="127"/>
  <c r="L246" i="127"/>
  <c r="K246" i="127"/>
  <c r="I246" i="127"/>
  <c r="L245" i="127"/>
  <c r="K245" i="127"/>
  <c r="I245" i="127"/>
  <c r="F245" i="127"/>
  <c r="D244" i="127"/>
  <c r="L243" i="127"/>
  <c r="K243" i="127"/>
  <c r="I243" i="127"/>
  <c r="J241" i="127"/>
  <c r="I241" i="127"/>
  <c r="L240" i="127"/>
  <c r="J240" i="127"/>
  <c r="I240" i="127"/>
  <c r="L239" i="127"/>
  <c r="J239" i="127"/>
  <c r="I239" i="127"/>
  <c r="L238" i="127"/>
  <c r="K238" i="127"/>
  <c r="J238" i="127"/>
  <c r="E238" i="127"/>
  <c r="I238" i="127" s="1"/>
  <c r="L237" i="127"/>
  <c r="K237" i="127"/>
  <c r="J237" i="127"/>
  <c r="L236" i="127"/>
  <c r="K236" i="127"/>
  <c r="J236" i="127"/>
  <c r="L235" i="127"/>
  <c r="K235" i="127"/>
  <c r="J235" i="127"/>
  <c r="L234" i="127"/>
  <c r="K234" i="127"/>
  <c r="J234" i="127"/>
  <c r="O228" i="127"/>
  <c r="N228" i="127"/>
  <c r="H227" i="127"/>
  <c r="G227" i="127"/>
  <c r="G226" i="127"/>
  <c r="Q223" i="127"/>
  <c r="O223" i="127"/>
  <c r="D221" i="127"/>
  <c r="D223" i="127" s="1"/>
  <c r="J219" i="127"/>
  <c r="I219" i="127"/>
  <c r="H219" i="127"/>
  <c r="L219" i="127" s="1"/>
  <c r="G219" i="127"/>
  <c r="K219" i="127" s="1"/>
  <c r="L218" i="127"/>
  <c r="J218" i="127"/>
  <c r="I218" i="127"/>
  <c r="G218" i="127"/>
  <c r="K218" i="127" s="1"/>
  <c r="D217" i="127"/>
  <c r="M209" i="127"/>
  <c r="M195" i="127"/>
  <c r="M194" i="127"/>
  <c r="M193" i="127"/>
  <c r="M187" i="127"/>
  <c r="M182" i="127"/>
  <c r="M181" i="127"/>
  <c r="M180" i="127"/>
  <c r="M179" i="127"/>
  <c r="G106" i="127"/>
  <c r="D106" i="127"/>
  <c r="L106" i="127" s="1"/>
  <c r="G105" i="127"/>
  <c r="D104" i="127"/>
  <c r="I104" i="127" s="1"/>
  <c r="L103" i="127"/>
  <c r="K103" i="127"/>
  <c r="I103" i="127"/>
  <c r="L102" i="127"/>
  <c r="K102" i="127"/>
  <c r="I102" i="127"/>
  <c r="F102" i="127"/>
  <c r="J102" i="127" s="1"/>
  <c r="L101" i="127"/>
  <c r="K101" i="127"/>
  <c r="I101" i="127"/>
  <c r="L100" i="127"/>
  <c r="K100" i="127"/>
  <c r="I100" i="127"/>
  <c r="L99" i="127"/>
  <c r="K99" i="127"/>
  <c r="I99" i="127"/>
  <c r="F99" i="127"/>
  <c r="J99" i="127" s="1"/>
  <c r="L98" i="127"/>
  <c r="K98" i="127"/>
  <c r="I98" i="127"/>
  <c r="L97" i="127"/>
  <c r="K97" i="127"/>
  <c r="I97" i="127"/>
  <c r="G95" i="127"/>
  <c r="D95" i="127"/>
  <c r="L95" i="127" s="1"/>
  <c r="D94" i="127"/>
  <c r="L94" i="127" s="1"/>
  <c r="L93" i="127"/>
  <c r="K93" i="127"/>
  <c r="I93" i="127"/>
  <c r="L92" i="127"/>
  <c r="K92" i="127"/>
  <c r="I92" i="127"/>
  <c r="L91" i="127"/>
  <c r="K91" i="127"/>
  <c r="L90" i="127"/>
  <c r="K90" i="127"/>
  <c r="I90" i="127"/>
  <c r="L89" i="127"/>
  <c r="K89" i="127"/>
  <c r="I89" i="127"/>
  <c r="F89" i="127"/>
  <c r="J89" i="127" s="1"/>
  <c r="G87" i="127"/>
  <c r="D87" i="127"/>
  <c r="J87" i="127" s="1"/>
  <c r="L86" i="127"/>
  <c r="K86" i="127"/>
  <c r="I86" i="127"/>
  <c r="L85" i="127"/>
  <c r="K85" i="127"/>
  <c r="I85" i="127"/>
  <c r="L84" i="127"/>
  <c r="K84" i="127"/>
  <c r="L83" i="127"/>
  <c r="K83" i="127"/>
  <c r="I83" i="127"/>
  <c r="L82" i="127"/>
  <c r="K82" i="127"/>
  <c r="L81" i="127"/>
  <c r="K81" i="127"/>
  <c r="G79" i="127"/>
  <c r="D79" i="127"/>
  <c r="L79" i="127" s="1"/>
  <c r="D78" i="127"/>
  <c r="L78" i="127" s="1"/>
  <c r="L77" i="127"/>
  <c r="K77" i="127"/>
  <c r="I77" i="127"/>
  <c r="L76" i="127"/>
  <c r="K76" i="127"/>
  <c r="L75" i="127"/>
  <c r="K75" i="127"/>
  <c r="F75" i="127"/>
  <c r="F82" i="127" s="1"/>
  <c r="J82" i="127" s="1"/>
  <c r="L74" i="127"/>
  <c r="K74" i="127"/>
  <c r="F74" i="127"/>
  <c r="F81" i="127" s="1"/>
  <c r="J81" i="127" s="1"/>
  <c r="N73" i="127"/>
  <c r="G72" i="127"/>
  <c r="D72" i="127"/>
  <c r="I72" i="127" s="1"/>
  <c r="D71" i="127"/>
  <c r="L71" i="127" s="1"/>
  <c r="L70" i="127"/>
  <c r="K70" i="127"/>
  <c r="I70" i="127"/>
  <c r="L69" i="127"/>
  <c r="K69" i="127"/>
  <c r="L68" i="127"/>
  <c r="K68" i="127"/>
  <c r="I68" i="127"/>
  <c r="L67" i="127"/>
  <c r="K67" i="127"/>
  <c r="I67" i="127"/>
  <c r="G65" i="127"/>
  <c r="D65" i="127"/>
  <c r="L65" i="127" s="1"/>
  <c r="D64" i="127"/>
  <c r="L64" i="127" s="1"/>
  <c r="L63" i="127"/>
  <c r="K63" i="127"/>
  <c r="I63" i="127"/>
  <c r="F63" i="127"/>
  <c r="L62" i="127"/>
  <c r="K62" i="127"/>
  <c r="I62" i="127"/>
  <c r="L61" i="127"/>
  <c r="K61" i="127"/>
  <c r="I61" i="127"/>
  <c r="L60" i="127"/>
  <c r="K60" i="127"/>
  <c r="I60" i="127"/>
  <c r="F60" i="127"/>
  <c r="F90" i="127" s="1"/>
  <c r="J90" i="127" s="1"/>
  <c r="L59" i="127"/>
  <c r="K59" i="127"/>
  <c r="I59" i="127"/>
  <c r="F59" i="127"/>
  <c r="J59" i="127" s="1"/>
  <c r="G57" i="127"/>
  <c r="D57" i="127"/>
  <c r="L57" i="127" s="1"/>
  <c r="F56" i="127"/>
  <c r="F64" i="127" s="1"/>
  <c r="D56" i="127"/>
  <c r="L56" i="127" s="1"/>
  <c r="L55" i="127"/>
  <c r="K55" i="127"/>
  <c r="I55" i="127"/>
  <c r="F55" i="127"/>
  <c r="L54" i="127"/>
  <c r="K54" i="127"/>
  <c r="I54" i="127"/>
  <c r="F54" i="127"/>
  <c r="L53" i="127"/>
  <c r="K53" i="127"/>
  <c r="I53" i="127"/>
  <c r="F53" i="127"/>
  <c r="J53" i="127" s="1"/>
  <c r="J50" i="127"/>
  <c r="I50" i="127"/>
  <c r="H50" i="127"/>
  <c r="L50" i="127" s="1"/>
  <c r="G50" i="127"/>
  <c r="K50" i="127" s="1"/>
  <c r="L49" i="127"/>
  <c r="K49" i="127"/>
  <c r="I49" i="127"/>
  <c r="L48" i="127"/>
  <c r="K48" i="127"/>
  <c r="I48" i="127"/>
  <c r="L47" i="127"/>
  <c r="K47" i="127"/>
  <c r="I47" i="127"/>
  <c r="F47" i="127"/>
  <c r="J47" i="127" s="1"/>
  <c r="J45" i="127"/>
  <c r="I45" i="127"/>
  <c r="H45" i="127"/>
  <c r="L45" i="127" s="1"/>
  <c r="G45" i="127"/>
  <c r="K45" i="127" s="1"/>
  <c r="L44" i="127"/>
  <c r="K44" i="127"/>
  <c r="I44" i="127"/>
  <c r="F44" i="127"/>
  <c r="J44" i="127" s="1"/>
  <c r="L43" i="127"/>
  <c r="K43" i="127"/>
  <c r="I43" i="127"/>
  <c r="F43" i="127"/>
  <c r="F255" i="127" s="1"/>
  <c r="J255" i="127" s="1"/>
  <c r="L42" i="127"/>
  <c r="K42" i="127"/>
  <c r="I42" i="127"/>
  <c r="F42" i="127"/>
  <c r="J42" i="127" s="1"/>
  <c r="J39" i="127"/>
  <c r="I39" i="127"/>
  <c r="H39" i="127"/>
  <c r="H251" i="127" s="1"/>
  <c r="L251" i="127" s="1"/>
  <c r="G39" i="127"/>
  <c r="G251" i="127" s="1"/>
  <c r="K251" i="127" s="1"/>
  <c r="L38" i="127"/>
  <c r="J38" i="127"/>
  <c r="I38" i="127"/>
  <c r="G38" i="127"/>
  <c r="L37" i="127"/>
  <c r="K37" i="127"/>
  <c r="I37" i="127"/>
  <c r="F37" i="127"/>
  <c r="L36" i="127"/>
  <c r="K36" i="127"/>
  <c r="I36" i="127"/>
  <c r="F36" i="127"/>
  <c r="J36" i="127" s="1"/>
  <c r="L35" i="127"/>
  <c r="K35" i="127"/>
  <c r="I35" i="127"/>
  <c r="F35" i="127"/>
  <c r="F247" i="127" s="1"/>
  <c r="J247" i="127" s="1"/>
  <c r="L34" i="127"/>
  <c r="K34" i="127"/>
  <c r="I34" i="127"/>
  <c r="F34" i="127"/>
  <c r="J34" i="127" s="1"/>
  <c r="L33" i="127"/>
  <c r="K33" i="127"/>
  <c r="I33" i="127"/>
  <c r="F33" i="127"/>
  <c r="J33" i="127" s="1"/>
  <c r="F32" i="127"/>
  <c r="F244" i="127" s="1"/>
  <c r="D32" i="127"/>
  <c r="I32" i="127" s="1"/>
  <c r="L31" i="127"/>
  <c r="K31" i="127"/>
  <c r="I31" i="127"/>
  <c r="F31" i="127"/>
  <c r="F243" i="127" s="1"/>
  <c r="J243" i="127" s="1"/>
  <c r="J28" i="127"/>
  <c r="I28" i="127"/>
  <c r="L27" i="127"/>
  <c r="J27" i="127"/>
  <c r="I27" i="127"/>
  <c r="L26" i="127"/>
  <c r="J26" i="127"/>
  <c r="I26" i="127"/>
  <c r="L25" i="127"/>
  <c r="K25" i="127"/>
  <c r="J25" i="127"/>
  <c r="E25" i="127"/>
  <c r="I25" i="127" s="1"/>
  <c r="L24" i="127"/>
  <c r="K24" i="127"/>
  <c r="J24" i="127"/>
  <c r="L23" i="127"/>
  <c r="K23" i="127"/>
  <c r="J23" i="127"/>
  <c r="L22" i="127"/>
  <c r="K22" i="127"/>
  <c r="J22" i="127"/>
  <c r="L21" i="127"/>
  <c r="K21" i="127"/>
  <c r="J21" i="127"/>
  <c r="J19" i="127"/>
  <c r="I19" i="127"/>
  <c r="G19" i="127"/>
  <c r="G241" i="127" s="1"/>
  <c r="K241" i="127" s="1"/>
  <c r="S18" i="127"/>
  <c r="L18" i="127"/>
  <c r="J18" i="127"/>
  <c r="I18" i="127"/>
  <c r="G18" i="127"/>
  <c r="K18" i="127" s="1"/>
  <c r="S17" i="127"/>
  <c r="L17" i="127"/>
  <c r="J17" i="127"/>
  <c r="I17" i="127"/>
  <c r="G17" i="127"/>
  <c r="K17" i="127" s="1"/>
  <c r="L16" i="127"/>
  <c r="K16" i="127"/>
  <c r="J16" i="127"/>
  <c r="I16" i="127"/>
  <c r="L15" i="127"/>
  <c r="K15" i="127"/>
  <c r="J15" i="127"/>
  <c r="E15" i="127"/>
  <c r="I15" i="127" s="1"/>
  <c r="L14" i="127"/>
  <c r="K14" i="127"/>
  <c r="J14" i="127"/>
  <c r="E14" i="127"/>
  <c r="L13" i="127"/>
  <c r="K13" i="127"/>
  <c r="J13" i="127"/>
  <c r="E13" i="127"/>
  <c r="L12" i="127"/>
  <c r="K12" i="127"/>
  <c r="J12" i="127"/>
  <c r="E12" i="127"/>
  <c r="J46" i="68"/>
  <c r="J45" i="68"/>
  <c r="J44" i="68"/>
  <c r="J43" i="68"/>
  <c r="N137" i="100"/>
  <c r="E8" i="68"/>
  <c r="E9" i="68"/>
  <c r="E10" i="68"/>
  <c r="N121" i="46" l="1"/>
  <c r="L121" i="46"/>
  <c r="O102" i="46"/>
  <c r="O98" i="46" s="1"/>
  <c r="N102" i="46"/>
  <c r="N98" i="46" s="1"/>
  <c r="M121" i="46"/>
  <c r="M102" i="46"/>
  <c r="M98" i="46" s="1"/>
  <c r="O113" i="46"/>
  <c r="N113" i="46"/>
  <c r="L113" i="46"/>
  <c r="J171" i="127"/>
  <c r="L171" i="127"/>
  <c r="J245" i="127"/>
  <c r="I118" i="46"/>
  <c r="M118" i="46" s="1"/>
  <c r="N72" i="46"/>
  <c r="L98" i="46"/>
  <c r="N74" i="46"/>
  <c r="N83" i="46"/>
  <c r="O74" i="46"/>
  <c r="N75" i="46"/>
  <c r="O75" i="46"/>
  <c r="N85" i="46"/>
  <c r="N76" i="46"/>
  <c r="O76" i="46"/>
  <c r="L76" i="46"/>
  <c r="N77" i="46"/>
  <c r="N78" i="46"/>
  <c r="N70" i="46"/>
  <c r="N79" i="46"/>
  <c r="O72" i="46"/>
  <c r="N81" i="46"/>
  <c r="N82" i="46"/>
  <c r="O84" i="46"/>
  <c r="M84" i="46"/>
  <c r="L84" i="46"/>
  <c r="N84" i="46"/>
  <c r="O69" i="46"/>
  <c r="M69" i="46"/>
  <c r="L69" i="46"/>
  <c r="N69" i="46"/>
  <c r="O80" i="46"/>
  <c r="M80" i="46"/>
  <c r="N80" i="46"/>
  <c r="M73" i="46"/>
  <c r="L73" i="46"/>
  <c r="N73" i="46"/>
  <c r="O73" i="46"/>
  <c r="L89" i="46"/>
  <c r="M89" i="46"/>
  <c r="L94" i="46"/>
  <c r="N89" i="46"/>
  <c r="M94" i="46"/>
  <c r="N94" i="46"/>
  <c r="L77" i="46"/>
  <c r="L81" i="46"/>
  <c r="L85" i="46"/>
  <c r="M77" i="46"/>
  <c r="M81" i="46"/>
  <c r="M85" i="46"/>
  <c r="L90" i="46"/>
  <c r="L70" i="46"/>
  <c r="M90" i="46"/>
  <c r="L95" i="46"/>
  <c r="M70" i="46"/>
  <c r="N90" i="46"/>
  <c r="M95" i="46"/>
  <c r="L74" i="46"/>
  <c r="N95" i="46"/>
  <c r="L86" i="46"/>
  <c r="L78" i="46"/>
  <c r="L82" i="46"/>
  <c r="M86" i="46"/>
  <c r="L91" i="46"/>
  <c r="M78" i="46"/>
  <c r="M82" i="46"/>
  <c r="N86" i="46"/>
  <c r="M91" i="46"/>
  <c r="L96" i="46"/>
  <c r="L71" i="46"/>
  <c r="M96" i="46"/>
  <c r="O91" i="46"/>
  <c r="K168" i="127"/>
  <c r="N71" i="46"/>
  <c r="L87" i="46"/>
  <c r="J168" i="127"/>
  <c r="L75" i="46"/>
  <c r="M87" i="46"/>
  <c r="L97" i="46"/>
  <c r="N92" i="46"/>
  <c r="L72" i="46"/>
  <c r="O92" i="46"/>
  <c r="N97" i="46"/>
  <c r="L168" i="127"/>
  <c r="M71" i="46"/>
  <c r="N96" i="46"/>
  <c r="L92" i="46"/>
  <c r="I168" i="127"/>
  <c r="L79" i="46"/>
  <c r="L83" i="46"/>
  <c r="N87" i="46"/>
  <c r="M79" i="46"/>
  <c r="M83" i="46"/>
  <c r="M97" i="46"/>
  <c r="O33" i="46"/>
  <c r="M54" i="46"/>
  <c r="N54" i="46"/>
  <c r="O54" i="46"/>
  <c r="N46" i="46"/>
  <c r="O46" i="46"/>
  <c r="M47" i="46"/>
  <c r="N57" i="46"/>
  <c r="L72" i="127"/>
  <c r="L66" i="127" s="1"/>
  <c r="M30" i="46"/>
  <c r="N50" i="46"/>
  <c r="M31" i="46"/>
  <c r="O50" i="46"/>
  <c r="M59" i="46"/>
  <c r="N51" i="46"/>
  <c r="M61" i="46"/>
  <c r="N33" i="46"/>
  <c r="O51" i="46"/>
  <c r="M63" i="46"/>
  <c r="M46" i="46"/>
  <c r="M28" i="46"/>
  <c r="M55" i="46"/>
  <c r="N28" i="46"/>
  <c r="N29" i="46"/>
  <c r="J72" i="127"/>
  <c r="M49" i="46"/>
  <c r="M50" i="46"/>
  <c r="M32" i="46"/>
  <c r="M51" i="46"/>
  <c r="M34" i="46"/>
  <c r="M53" i="46"/>
  <c r="M44" i="46"/>
  <c r="M65" i="46"/>
  <c r="O60" i="46"/>
  <c r="M60" i="46"/>
  <c r="O52" i="46"/>
  <c r="N52" i="46"/>
  <c r="N34" i="46"/>
  <c r="O34" i="46"/>
  <c r="N47" i="46"/>
  <c r="N35" i="46"/>
  <c r="O47" i="46"/>
  <c r="O35" i="46"/>
  <c r="M48" i="46"/>
  <c r="O55" i="46"/>
  <c r="N64" i="46"/>
  <c r="M52" i="46"/>
  <c r="N60" i="46"/>
  <c r="N62" i="46"/>
  <c r="O48" i="46"/>
  <c r="N48" i="46"/>
  <c r="N30" i="46"/>
  <c r="N56" i="46"/>
  <c r="O56" i="46"/>
  <c r="O63" i="46"/>
  <c r="N59" i="46"/>
  <c r="O59" i="46"/>
  <c r="O62" i="46"/>
  <c r="M62" i="46"/>
  <c r="M35" i="46"/>
  <c r="M56" i="46"/>
  <c r="O66" i="46"/>
  <c r="M66" i="46"/>
  <c r="N66" i="46"/>
  <c r="N44" i="46"/>
  <c r="O44" i="46"/>
  <c r="N65" i="46"/>
  <c r="O32" i="46"/>
  <c r="M45" i="46"/>
  <c r="M57" i="46"/>
  <c r="O65" i="46"/>
  <c r="N45" i="46"/>
  <c r="N49" i="46"/>
  <c r="N53" i="46"/>
  <c r="O49" i="46"/>
  <c r="N61" i="46"/>
  <c r="O61" i="46"/>
  <c r="M29" i="46"/>
  <c r="J54" i="127"/>
  <c r="F61" i="127"/>
  <c r="J61" i="127" s="1"/>
  <c r="S19" i="127"/>
  <c r="H19" i="127" s="1"/>
  <c r="H241" i="127" s="1"/>
  <c r="L241" i="127" s="1"/>
  <c r="L233" i="127" s="1"/>
  <c r="J244" i="127"/>
  <c r="J20" i="127"/>
  <c r="I253" i="127"/>
  <c r="J37" i="127"/>
  <c r="F249" i="127"/>
  <c r="J249" i="127" s="1"/>
  <c r="L217" i="127"/>
  <c r="K253" i="127"/>
  <c r="J63" i="127"/>
  <c r="F70" i="127"/>
  <c r="F77" i="127" s="1"/>
  <c r="F85" i="127" s="1"/>
  <c r="M160" i="127"/>
  <c r="J55" i="127"/>
  <c r="F62" i="127"/>
  <c r="J62" i="127" s="1"/>
  <c r="F83" i="127"/>
  <c r="L73" i="127"/>
  <c r="I217" i="127"/>
  <c r="K38" i="127"/>
  <c r="G250" i="127"/>
  <c r="K250" i="127" s="1"/>
  <c r="J217" i="127"/>
  <c r="L52" i="127"/>
  <c r="I12" i="127"/>
  <c r="E21" i="127"/>
  <c r="I21" i="127" s="1"/>
  <c r="K46" i="127"/>
  <c r="F68" i="127"/>
  <c r="J68" i="127" s="1"/>
  <c r="J35" i="127"/>
  <c r="L46" i="127"/>
  <c r="I46" i="127"/>
  <c r="J60" i="127"/>
  <c r="E235" i="127"/>
  <c r="I235" i="127" s="1"/>
  <c r="E22" i="127"/>
  <c r="I22" i="127" s="1"/>
  <c r="G27" i="127"/>
  <c r="K27" i="127" s="1"/>
  <c r="F246" i="127"/>
  <c r="J246" i="127" s="1"/>
  <c r="G28" i="127"/>
  <c r="K28" i="127" s="1"/>
  <c r="K19" i="127"/>
  <c r="K11" i="127" s="1"/>
  <c r="L253" i="127"/>
  <c r="I14" i="127"/>
  <c r="E23" i="127"/>
  <c r="I23" i="127" s="1"/>
  <c r="E236" i="127"/>
  <c r="I236" i="127" s="1"/>
  <c r="G240" i="127"/>
  <c r="K240" i="127" s="1"/>
  <c r="J74" i="127"/>
  <c r="K57" i="127"/>
  <c r="K65" i="127"/>
  <c r="K39" i="127"/>
  <c r="F67" i="127"/>
  <c r="J67" i="127" s="1"/>
  <c r="K95" i="127"/>
  <c r="L39" i="127"/>
  <c r="J75" i="127"/>
  <c r="F97" i="127"/>
  <c r="J97" i="127" s="1"/>
  <c r="J233" i="127"/>
  <c r="J11" i="127"/>
  <c r="K41" i="127"/>
  <c r="J31" i="127"/>
  <c r="K79" i="127"/>
  <c r="K106" i="127"/>
  <c r="I79" i="127"/>
  <c r="I106" i="127"/>
  <c r="L41" i="127"/>
  <c r="K217" i="127"/>
  <c r="K244" i="127"/>
  <c r="L88" i="127"/>
  <c r="K72" i="127"/>
  <c r="K87" i="127"/>
  <c r="K80" i="127" s="1"/>
  <c r="J79" i="127"/>
  <c r="I30" i="127"/>
  <c r="I41" i="127"/>
  <c r="L244" i="127"/>
  <c r="L242" i="127" s="1"/>
  <c r="L223" i="127"/>
  <c r="K223" i="127"/>
  <c r="J223" i="127"/>
  <c r="I223" i="127"/>
  <c r="J64" i="127"/>
  <c r="F71" i="127"/>
  <c r="L58" i="127"/>
  <c r="J253" i="127"/>
  <c r="K104" i="127"/>
  <c r="J32" i="127"/>
  <c r="D224" i="127"/>
  <c r="K32" i="127"/>
  <c r="F48" i="127"/>
  <c r="J48" i="127" s="1"/>
  <c r="F49" i="127"/>
  <c r="J49" i="127" s="1"/>
  <c r="I78" i="127"/>
  <c r="G239" i="127"/>
  <c r="K239" i="127" s="1"/>
  <c r="F248" i="127"/>
  <c r="J248" i="127" s="1"/>
  <c r="L87" i="127"/>
  <c r="L80" i="127" s="1"/>
  <c r="J106" i="127"/>
  <c r="D225" i="127"/>
  <c r="E234" i="127"/>
  <c r="I234" i="127" s="1"/>
  <c r="I64" i="127"/>
  <c r="F69" i="127"/>
  <c r="I71" i="127"/>
  <c r="I69" i="127" s="1"/>
  <c r="I66" i="127" s="1"/>
  <c r="I95" i="127"/>
  <c r="L104" i="127"/>
  <c r="G26" i="127"/>
  <c r="K26" i="127" s="1"/>
  <c r="I57" i="127"/>
  <c r="J95" i="127"/>
  <c r="D105" i="127"/>
  <c r="E237" i="127"/>
  <c r="I237" i="127" s="1"/>
  <c r="J57" i="127"/>
  <c r="K71" i="127"/>
  <c r="I13" i="127"/>
  <c r="L32" i="127"/>
  <c r="J43" i="127"/>
  <c r="J41" i="127" s="1"/>
  <c r="I87" i="127"/>
  <c r="I84" i="127" s="1"/>
  <c r="I80" i="127" s="1"/>
  <c r="K78" i="127"/>
  <c r="F98" i="127"/>
  <c r="J98" i="127" s="1"/>
  <c r="K64" i="127"/>
  <c r="I244" i="127"/>
  <c r="I242" i="127" s="1"/>
  <c r="E24" i="127"/>
  <c r="I24" i="127" s="1"/>
  <c r="D222" i="127"/>
  <c r="I65" i="127"/>
  <c r="I94" i="127"/>
  <c r="I56" i="127"/>
  <c r="J65" i="127"/>
  <c r="J56" i="127"/>
  <c r="K94" i="127"/>
  <c r="K56" i="127"/>
  <c r="D227" i="127"/>
  <c r="K227" i="127" s="1"/>
  <c r="N68" i="46" l="1"/>
  <c r="L68" i="46"/>
  <c r="M68" i="46"/>
  <c r="O68" i="46"/>
  <c r="O64" i="46"/>
  <c r="M64" i="46"/>
  <c r="H28" i="127"/>
  <c r="L28" i="127" s="1"/>
  <c r="L20" i="127" s="1"/>
  <c r="L19" i="127"/>
  <c r="L11" i="127" s="1"/>
  <c r="K233" i="127"/>
  <c r="I20" i="127"/>
  <c r="J52" i="127"/>
  <c r="K52" i="127"/>
  <c r="I11" i="127"/>
  <c r="I58" i="127"/>
  <c r="K58" i="127"/>
  <c r="K242" i="127"/>
  <c r="J83" i="127"/>
  <c r="F92" i="127"/>
  <c r="J70" i="127"/>
  <c r="K20" i="127"/>
  <c r="L30" i="127"/>
  <c r="J77" i="127"/>
  <c r="I91" i="127"/>
  <c r="I88" i="127" s="1"/>
  <c r="K66" i="127"/>
  <c r="J58" i="127"/>
  <c r="L227" i="127"/>
  <c r="I76" i="127"/>
  <c r="I73" i="127" s="1"/>
  <c r="K88" i="127"/>
  <c r="J46" i="127"/>
  <c r="K30" i="127"/>
  <c r="J30" i="127"/>
  <c r="K73" i="127"/>
  <c r="J242" i="127"/>
  <c r="J85" i="127"/>
  <c r="F93" i="127"/>
  <c r="K224" i="127"/>
  <c r="J224" i="127"/>
  <c r="I224" i="127"/>
  <c r="L224" i="127"/>
  <c r="J69" i="127"/>
  <c r="F76" i="127"/>
  <c r="L222" i="127"/>
  <c r="K222" i="127"/>
  <c r="J222" i="127"/>
  <c r="I222" i="127"/>
  <c r="D226" i="127"/>
  <c r="I233" i="127"/>
  <c r="L225" i="127"/>
  <c r="K225" i="127"/>
  <c r="J225" i="127"/>
  <c r="I225" i="127"/>
  <c r="J105" i="127"/>
  <c r="I105" i="127"/>
  <c r="I96" i="127" s="1"/>
  <c r="L105" i="127"/>
  <c r="L96" i="127" s="1"/>
  <c r="J227" i="127"/>
  <c r="I227" i="127"/>
  <c r="J71" i="127"/>
  <c r="F78" i="127"/>
  <c r="I52" i="127"/>
  <c r="K105" i="127"/>
  <c r="K96" i="127" s="1"/>
  <c r="O146" i="113"/>
  <c r="P146" i="113"/>
  <c r="N27" i="46" l="1"/>
  <c r="F101" i="127"/>
  <c r="J101" i="127" s="1"/>
  <c r="J92" i="127"/>
  <c r="J66" i="127"/>
  <c r="L226" i="127"/>
  <c r="L220" i="127" s="1"/>
  <c r="J226" i="127"/>
  <c r="J220" i="127" s="1"/>
  <c r="I226" i="127"/>
  <c r="I220" i="127" s="1"/>
  <c r="K226" i="127"/>
  <c r="K220" i="127" s="1"/>
  <c r="F84" i="127"/>
  <c r="J76" i="127"/>
  <c r="F86" i="127"/>
  <c r="J78" i="127"/>
  <c r="F103" i="127"/>
  <c r="J103" i="127" s="1"/>
  <c r="J93" i="127"/>
  <c r="G10" i="68"/>
  <c r="J9" i="68"/>
  <c r="G9" i="68"/>
  <c r="BA146" i="113"/>
  <c r="D9" i="68" s="1"/>
  <c r="BB146" i="113"/>
  <c r="D10" i="68" s="1"/>
  <c r="BC146" i="113"/>
  <c r="G146" i="113"/>
  <c r="H146" i="113"/>
  <c r="H9" i="68" l="1"/>
  <c r="O27" i="46"/>
  <c r="F94" i="127"/>
  <c r="J86" i="127"/>
  <c r="J73" i="127"/>
  <c r="J84" i="127"/>
  <c r="J80" i="127" s="1"/>
  <c r="F91" i="127"/>
  <c r="H10" i="68"/>
  <c r="J7" i="68"/>
  <c r="J35" i="68"/>
  <c r="D64" i="126"/>
  <c r="J91" i="127" l="1"/>
  <c r="F100" i="127"/>
  <c r="J94" i="127"/>
  <c r="F104" i="127"/>
  <c r="G35" i="68"/>
  <c r="G36" i="68"/>
  <c r="G37" i="68"/>
  <c r="G38" i="68"/>
  <c r="CE6" i="113"/>
  <c r="CE7" i="113"/>
  <c r="CC8" i="113"/>
  <c r="CC9" i="113"/>
  <c r="CB10" i="113"/>
  <c r="CB11" i="113"/>
  <c r="CD14" i="113"/>
  <c r="CD15" i="113"/>
  <c r="CD16" i="113"/>
  <c r="CD17" i="113"/>
  <c r="CB18" i="113"/>
  <c r="CB19" i="113"/>
  <c r="CB20" i="113"/>
  <c r="CB21" i="113"/>
  <c r="CB22" i="113"/>
  <c r="CB23" i="113"/>
  <c r="CB5" i="113"/>
  <c r="M27" i="46" l="1"/>
  <c r="J104" i="127"/>
  <c r="J100" i="127"/>
  <c r="J88" i="127"/>
  <c r="CE146" i="113"/>
  <c r="D38" i="68" s="1"/>
  <c r="H38" i="68" s="1"/>
  <c r="CC146" i="113"/>
  <c r="CB146" i="113"/>
  <c r="CD146" i="113"/>
  <c r="D37" i="68" s="1"/>
  <c r="H37" i="68" s="1"/>
  <c r="E7" i="68"/>
  <c r="M113" i="46" l="1"/>
  <c r="J96" i="127"/>
  <c r="D36" i="68"/>
  <c r="H36" i="68" s="1"/>
  <c r="D35" i="68"/>
  <c r="H35" i="68" s="1"/>
  <c r="N71" i="100" l="1"/>
  <c r="D146" i="113" l="1"/>
  <c r="D12" i="123" s="1"/>
  <c r="G68" i="122"/>
  <c r="G67" i="122"/>
  <c r="H65" i="122"/>
  <c r="L65" i="122" s="1"/>
  <c r="G65" i="122"/>
  <c r="K65" i="122" s="1"/>
  <c r="L64" i="122"/>
  <c r="K64" i="122"/>
  <c r="J64" i="122"/>
  <c r="I64" i="122"/>
  <c r="J71" i="122"/>
  <c r="L70" i="122"/>
  <c r="J68" i="122"/>
  <c r="I67" i="122"/>
  <c r="K62" i="122"/>
  <c r="J60" i="122"/>
  <c r="L61" i="122"/>
  <c r="J59" i="122"/>
  <c r="J56" i="122"/>
  <c r="F12" i="123" s="1"/>
  <c r="G107" i="122"/>
  <c r="E107" i="122"/>
  <c r="D107" i="122"/>
  <c r="L107" i="122" s="1"/>
  <c r="G106" i="122"/>
  <c r="E106" i="122"/>
  <c r="D106" i="122"/>
  <c r="L106" i="122" s="1"/>
  <c r="L105" i="122"/>
  <c r="J105" i="122"/>
  <c r="G105" i="122"/>
  <c r="K105" i="122" s="1"/>
  <c r="E105" i="122"/>
  <c r="I105" i="122" s="1"/>
  <c r="L104" i="122"/>
  <c r="J104" i="122"/>
  <c r="G104" i="122"/>
  <c r="K104" i="122" s="1"/>
  <c r="E104" i="122"/>
  <c r="I104" i="122" s="1"/>
  <c r="L103" i="122"/>
  <c r="J103" i="122"/>
  <c r="G103" i="122"/>
  <c r="K103" i="122" s="1"/>
  <c r="E103" i="122"/>
  <c r="I103" i="122" s="1"/>
  <c r="L102" i="122"/>
  <c r="J102" i="122"/>
  <c r="G102" i="122"/>
  <c r="K102" i="122" s="1"/>
  <c r="E102" i="122"/>
  <c r="I102" i="122" s="1"/>
  <c r="J101" i="122"/>
  <c r="H101" i="122"/>
  <c r="L101" i="122" s="1"/>
  <c r="G101" i="122"/>
  <c r="K101" i="122" s="1"/>
  <c r="E101" i="122"/>
  <c r="I101" i="122" s="1"/>
  <c r="J100" i="122"/>
  <c r="H100" i="122"/>
  <c r="L100" i="122" s="1"/>
  <c r="E100" i="122"/>
  <c r="I100" i="122" s="1"/>
  <c r="J99" i="122"/>
  <c r="H99" i="122"/>
  <c r="L99" i="122" s="1"/>
  <c r="E99" i="122"/>
  <c r="I99" i="122" s="1"/>
  <c r="J98" i="122"/>
  <c r="H98" i="122"/>
  <c r="L98" i="122" s="1"/>
  <c r="G98" i="122"/>
  <c r="K98" i="122" s="1"/>
  <c r="E98" i="122"/>
  <c r="I98" i="122" s="1"/>
  <c r="H97" i="122"/>
  <c r="G97" i="122"/>
  <c r="D97" i="122"/>
  <c r="I97" i="122" s="1"/>
  <c r="H96" i="122"/>
  <c r="G96" i="122"/>
  <c r="D96" i="122"/>
  <c r="H95" i="122"/>
  <c r="G95" i="122"/>
  <c r="D95" i="122"/>
  <c r="J95" i="122" s="1"/>
  <c r="H94" i="122"/>
  <c r="G94" i="122"/>
  <c r="D94" i="122"/>
  <c r="I94" i="122" s="1"/>
  <c r="H63" i="122"/>
  <c r="G63" i="122"/>
  <c r="J63" i="122"/>
  <c r="H93" i="122"/>
  <c r="G93" i="122"/>
  <c r="D93" i="122"/>
  <c r="I93" i="122" s="1"/>
  <c r="H92" i="122"/>
  <c r="G92" i="122"/>
  <c r="D92" i="122"/>
  <c r="I92" i="122" s="1"/>
  <c r="J91" i="122"/>
  <c r="I91" i="122"/>
  <c r="H91" i="122"/>
  <c r="L91" i="122" s="1"/>
  <c r="G91" i="122"/>
  <c r="K91" i="122" s="1"/>
  <c r="L88" i="122"/>
  <c r="K88" i="122"/>
  <c r="J88" i="122"/>
  <c r="I88" i="122"/>
  <c r="L87" i="122"/>
  <c r="K87" i="122"/>
  <c r="J87" i="122"/>
  <c r="I87" i="122"/>
  <c r="D86" i="122"/>
  <c r="I86" i="122" s="1"/>
  <c r="D85" i="122"/>
  <c r="K85" i="122" s="1"/>
  <c r="D84" i="122"/>
  <c r="K84" i="122" s="1"/>
  <c r="D82" i="122"/>
  <c r="I82" i="122" s="1"/>
  <c r="D81" i="122"/>
  <c r="L81" i="122" s="1"/>
  <c r="D79" i="122"/>
  <c r="K79" i="122" s="1"/>
  <c r="D78" i="122"/>
  <c r="K78" i="122" s="1"/>
  <c r="D77" i="122"/>
  <c r="J77" i="122" s="1"/>
  <c r="L76" i="122"/>
  <c r="K76" i="122"/>
  <c r="J76" i="122"/>
  <c r="I76" i="122"/>
  <c r="D75" i="122"/>
  <c r="I75" i="122" s="1"/>
  <c r="J72" i="122"/>
  <c r="J12" i="123" l="1"/>
  <c r="I65" i="122"/>
  <c r="J65" i="122"/>
  <c r="L63" i="122"/>
  <c r="J67" i="122"/>
  <c r="I63" i="122"/>
  <c r="L67" i="122"/>
  <c r="L84" i="122"/>
  <c r="K94" i="122"/>
  <c r="K95" i="122"/>
  <c r="L68" i="122"/>
  <c r="L85" i="122"/>
  <c r="L94" i="122"/>
  <c r="J75" i="122"/>
  <c r="L77" i="122"/>
  <c r="I84" i="122"/>
  <c r="J82" i="122"/>
  <c r="K77" i="122"/>
  <c r="L86" i="122"/>
  <c r="J84" i="122"/>
  <c r="K68" i="122"/>
  <c r="L79" i="122"/>
  <c r="L97" i="122"/>
  <c r="I85" i="122"/>
  <c r="I77" i="122"/>
  <c r="I79" i="122"/>
  <c r="J86" i="122"/>
  <c r="K63" i="122"/>
  <c r="L95" i="122"/>
  <c r="K97" i="122"/>
  <c r="J61" i="122"/>
  <c r="K93" i="122"/>
  <c r="J97" i="122"/>
  <c r="I107" i="122"/>
  <c r="K59" i="122"/>
  <c r="K61" i="122"/>
  <c r="I71" i="122"/>
  <c r="I81" i="122"/>
  <c r="I78" i="122"/>
  <c r="J81" i="122"/>
  <c r="K107" i="122"/>
  <c r="L59" i="122"/>
  <c r="K71" i="122"/>
  <c r="I59" i="122"/>
  <c r="J78" i="122"/>
  <c r="J93" i="122"/>
  <c r="I68" i="122"/>
  <c r="L71" i="122"/>
  <c r="L69" i="122" s="1"/>
  <c r="L78" i="122"/>
  <c r="L93" i="122"/>
  <c r="K67" i="122"/>
  <c r="K106" i="122"/>
  <c r="K60" i="122"/>
  <c r="L92" i="122"/>
  <c r="I61" i="122"/>
  <c r="L60" i="122"/>
  <c r="I62" i="122"/>
  <c r="I70" i="122"/>
  <c r="J62" i="122"/>
  <c r="J70" i="122"/>
  <c r="K70" i="122"/>
  <c r="I60" i="122"/>
  <c r="L62" i="122"/>
  <c r="L96" i="122"/>
  <c r="K75" i="122"/>
  <c r="K86" i="122"/>
  <c r="J92" i="122"/>
  <c r="L75" i="122"/>
  <c r="L82" i="122"/>
  <c r="K92" i="122"/>
  <c r="I96" i="122"/>
  <c r="J79" i="122"/>
  <c r="J85" i="122"/>
  <c r="I95" i="122"/>
  <c r="J96" i="122"/>
  <c r="K96" i="122"/>
  <c r="I106" i="122"/>
  <c r="J107" i="122"/>
  <c r="J94" i="122"/>
  <c r="J106" i="122"/>
  <c r="K66" i="122" l="1"/>
  <c r="I57" i="122"/>
  <c r="L83" i="122"/>
  <c r="L72" i="122" s="1"/>
  <c r="K56" i="122"/>
  <c r="G12" i="123" s="1"/>
  <c r="K12" i="123" s="1"/>
  <c r="L56" i="122"/>
  <c r="H12" i="123" s="1"/>
  <c r="L12" i="123" s="1"/>
  <c r="I73" i="122"/>
  <c r="I72" i="122" s="1"/>
  <c r="L89" i="122"/>
  <c r="I56" i="122"/>
  <c r="E12" i="123" s="1"/>
  <c r="I12" i="123" s="1"/>
  <c r="J89" i="122"/>
  <c r="I89" i="122"/>
  <c r="C11" i="64" l="1"/>
  <c r="C13" i="64"/>
  <c r="M13" i="46" l="1"/>
  <c r="N13" i="46"/>
  <c r="O13" i="46"/>
  <c r="M15" i="46"/>
  <c r="N15" i="46"/>
  <c r="O15" i="46"/>
  <c r="M18" i="46"/>
  <c r="N18" i="46"/>
  <c r="O18" i="46"/>
  <c r="M26" i="46"/>
  <c r="N26" i="46"/>
  <c r="O26" i="46"/>
  <c r="F146" i="113" l="1"/>
  <c r="I146" i="113"/>
  <c r="J146" i="113"/>
  <c r="K146" i="113"/>
  <c r="F9" i="64" s="1"/>
  <c r="L146" i="113"/>
  <c r="F10" i="64" s="1"/>
  <c r="M146" i="113"/>
  <c r="N146" i="113"/>
  <c r="Q146" i="113"/>
  <c r="R146" i="113"/>
  <c r="S146" i="113"/>
  <c r="T146" i="113"/>
  <c r="U146" i="113"/>
  <c r="V146" i="113"/>
  <c r="W146" i="113"/>
  <c r="X146" i="113"/>
  <c r="Y146" i="113"/>
  <c r="Z146" i="113"/>
  <c r="AA146" i="113"/>
  <c r="AB146" i="113"/>
  <c r="AC146" i="113"/>
  <c r="AD146" i="113"/>
  <c r="AE146" i="113"/>
  <c r="AF146" i="113"/>
  <c r="AG146" i="113"/>
  <c r="AH146" i="113"/>
  <c r="AI146" i="113"/>
  <c r="AJ146" i="113"/>
  <c r="AK146" i="113"/>
  <c r="AL146" i="113"/>
  <c r="AM146" i="113"/>
  <c r="AN146" i="113"/>
  <c r="AO146" i="113"/>
  <c r="AP146" i="113"/>
  <c r="AQ146" i="113"/>
  <c r="AR146" i="113"/>
  <c r="AS146" i="113"/>
  <c r="AT146" i="113"/>
  <c r="D10" i="123" s="1"/>
  <c r="AU146" i="113"/>
  <c r="AV146" i="113"/>
  <c r="AW146" i="113"/>
  <c r="AX146" i="113"/>
  <c r="AY146" i="113"/>
  <c r="AZ146" i="113"/>
  <c r="BD146" i="113"/>
  <c r="BE146" i="113"/>
  <c r="BG146" i="113"/>
  <c r="BH146" i="113"/>
  <c r="BI146" i="113"/>
  <c r="BJ146" i="113"/>
  <c r="BK146" i="113"/>
  <c r="BL146" i="113"/>
  <c r="BM146" i="113"/>
  <c r="BP146" i="113"/>
  <c r="BQ146" i="113"/>
  <c r="BR146" i="113"/>
  <c r="BS146" i="113"/>
  <c r="BT146" i="113"/>
  <c r="BU146" i="113"/>
  <c r="BV146" i="113"/>
  <c r="BW146" i="113"/>
  <c r="BX146" i="113"/>
  <c r="BY146" i="113"/>
  <c r="BZ146" i="113"/>
  <c r="CA146" i="113"/>
  <c r="D12" i="68" l="1"/>
  <c r="D11" i="68"/>
  <c r="C14" i="64"/>
  <c r="C9" i="64"/>
  <c r="B14" i="64"/>
  <c r="C15" i="64"/>
  <c r="C10" i="64"/>
  <c r="B15" i="64"/>
  <c r="D11" i="123"/>
  <c r="B11" i="123" l="1"/>
  <c r="L55" i="122"/>
  <c r="K55" i="122"/>
  <c r="J55" i="122"/>
  <c r="I55" i="122"/>
  <c r="L54" i="122"/>
  <c r="K54" i="122"/>
  <c r="J54" i="122"/>
  <c r="I54" i="122"/>
  <c r="L53" i="122"/>
  <c r="K53" i="122"/>
  <c r="J53" i="122"/>
  <c r="I53" i="122"/>
  <c r="L51" i="122"/>
  <c r="L50" i="122"/>
  <c r="L48" i="122"/>
  <c r="K48" i="122"/>
  <c r="J48" i="122"/>
  <c r="I48" i="122"/>
  <c r="L47" i="122"/>
  <c r="K47" i="122"/>
  <c r="J47" i="122"/>
  <c r="I47" i="122"/>
  <c r="L46" i="122"/>
  <c r="K46" i="122"/>
  <c r="J46" i="122"/>
  <c r="I46" i="122"/>
  <c r="L45" i="122"/>
  <c r="K45" i="122"/>
  <c r="J45" i="122"/>
  <c r="I45" i="122"/>
  <c r="L44" i="122"/>
  <c r="K44" i="122"/>
  <c r="J44" i="122"/>
  <c r="I44" i="122"/>
  <c r="J41" i="122"/>
  <c r="F11" i="123" s="1"/>
  <c r="L40" i="122"/>
  <c r="K40" i="122"/>
  <c r="J40" i="122"/>
  <c r="I40" i="122"/>
  <c r="L39" i="122"/>
  <c r="K39" i="122"/>
  <c r="J39" i="122"/>
  <c r="I39" i="122"/>
  <c r="L37" i="122"/>
  <c r="J37" i="122"/>
  <c r="I37" i="122"/>
  <c r="L36" i="122"/>
  <c r="J36" i="122"/>
  <c r="I36" i="122"/>
  <c r="K36" i="122"/>
  <c r="L34" i="122"/>
  <c r="K34" i="122"/>
  <c r="J34" i="122"/>
  <c r="I34" i="122"/>
  <c r="L33" i="122"/>
  <c r="K33" i="122"/>
  <c r="J33" i="122"/>
  <c r="I33" i="122"/>
  <c r="L32" i="122"/>
  <c r="K32" i="122"/>
  <c r="J32" i="122"/>
  <c r="I32" i="122"/>
  <c r="L31" i="122"/>
  <c r="K31" i="122"/>
  <c r="J31" i="122"/>
  <c r="I31" i="122"/>
  <c r="J29" i="122"/>
  <c r="F9" i="123" s="1"/>
  <c r="F10" i="123" s="1"/>
  <c r="J10" i="123" s="1"/>
  <c r="L28" i="122"/>
  <c r="K28" i="122"/>
  <c r="J28" i="122"/>
  <c r="I28" i="122"/>
  <c r="L27" i="122"/>
  <c r="K27" i="122"/>
  <c r="J27" i="122"/>
  <c r="I27" i="122"/>
  <c r="L26" i="122"/>
  <c r="K26" i="122"/>
  <c r="J26" i="122"/>
  <c r="I26" i="122"/>
  <c r="L25" i="122"/>
  <c r="K25" i="122"/>
  <c r="J25" i="122"/>
  <c r="I25" i="122"/>
  <c r="L24" i="122"/>
  <c r="K24" i="122"/>
  <c r="J24" i="122"/>
  <c r="I24" i="122"/>
  <c r="L23" i="122"/>
  <c r="K23" i="122"/>
  <c r="J23" i="122"/>
  <c r="I23" i="122"/>
  <c r="L22" i="122"/>
  <c r="K22" i="122"/>
  <c r="J22" i="122"/>
  <c r="I22" i="122"/>
  <c r="L21" i="122"/>
  <c r="K21" i="122"/>
  <c r="J21" i="122"/>
  <c r="I21" i="122"/>
  <c r="K20" i="122"/>
  <c r="J20" i="122"/>
  <c r="I20" i="122"/>
  <c r="L19" i="122"/>
  <c r="J19" i="122"/>
  <c r="I19" i="122"/>
  <c r="L18" i="122"/>
  <c r="J18" i="122"/>
  <c r="I18" i="122"/>
  <c r="L16" i="122"/>
  <c r="K16" i="122"/>
  <c r="J16" i="122"/>
  <c r="I16" i="122"/>
  <c r="L15" i="122"/>
  <c r="K15" i="122"/>
  <c r="J15" i="122"/>
  <c r="I15" i="122"/>
  <c r="L14" i="122"/>
  <c r="K14" i="122"/>
  <c r="J14" i="122"/>
  <c r="I14" i="122"/>
  <c r="L13" i="122"/>
  <c r="K13" i="122"/>
  <c r="J13" i="122"/>
  <c r="I13" i="122"/>
  <c r="L12" i="122"/>
  <c r="K12" i="122"/>
  <c r="J12" i="122"/>
  <c r="I12" i="122"/>
  <c r="L11" i="122"/>
  <c r="K11" i="122"/>
  <c r="J11" i="122"/>
  <c r="I11" i="122"/>
  <c r="J9" i="122"/>
  <c r="J6" i="122"/>
  <c r="I6" i="122"/>
  <c r="I30" i="122" l="1"/>
  <c r="I29" i="122" s="1"/>
  <c r="E9" i="123" s="1"/>
  <c r="E10" i="123" s="1"/>
  <c r="I10" i="123" s="1"/>
  <c r="I42" i="122"/>
  <c r="I41" i="122" s="1"/>
  <c r="E11" i="123" s="1"/>
  <c r="I11" i="123" s="1"/>
  <c r="L52" i="122"/>
  <c r="L41" i="122" s="1"/>
  <c r="H11" i="123" s="1"/>
  <c r="L11" i="123" s="1"/>
  <c r="L38" i="122"/>
  <c r="L29" i="122" s="1"/>
  <c r="H9" i="123" s="1"/>
  <c r="H10" i="123" s="1"/>
  <c r="L10" i="123" s="1"/>
  <c r="G82" i="122"/>
  <c r="G81" i="122"/>
  <c r="J11" i="123"/>
  <c r="J9" i="123"/>
  <c r="L20" i="122"/>
  <c r="L9" i="122" s="1"/>
  <c r="I9" i="122"/>
  <c r="K19" i="122"/>
  <c r="I51" i="122"/>
  <c r="K18" i="122"/>
  <c r="K37" i="122"/>
  <c r="K35" i="122" s="1"/>
  <c r="K29" i="122" s="1"/>
  <c r="G9" i="123" s="1"/>
  <c r="G10" i="123" s="1"/>
  <c r="K10" i="123" s="1"/>
  <c r="I50" i="122"/>
  <c r="K51" i="122"/>
  <c r="J51" i="122"/>
  <c r="J50" i="122"/>
  <c r="K50" i="122"/>
  <c r="J8" i="123" l="1"/>
  <c r="K9" i="123"/>
  <c r="K49" i="122"/>
  <c r="K41" i="122" s="1"/>
  <c r="G11" i="123" s="1"/>
  <c r="K11" i="123" s="1"/>
  <c r="K8" i="123" s="1"/>
  <c r="I9" i="123"/>
  <c r="I8" i="123" s="1"/>
  <c r="L9" i="123"/>
  <c r="L8" i="123" s="1"/>
  <c r="G99" i="122"/>
  <c r="K99" i="122" s="1"/>
  <c r="K81" i="122"/>
  <c r="K80" i="122" s="1"/>
  <c r="K72" i="122" s="1"/>
  <c r="G100" i="122"/>
  <c r="K100" i="122" s="1"/>
  <c r="K82" i="122"/>
  <c r="K17" i="122"/>
  <c r="K9" i="122" s="1"/>
  <c r="D7" i="124" l="1"/>
  <c r="E7" i="124"/>
  <c r="K89" i="122"/>
  <c r="F7" i="124"/>
  <c r="E15" i="125" l="1"/>
  <c r="E18" i="125" s="1"/>
  <c r="E17" i="125" s="1"/>
  <c r="E6" i="124"/>
  <c r="E10" i="125"/>
  <c r="E9" i="125" s="1"/>
  <c r="D6" i="124"/>
  <c r="F6" i="124"/>
  <c r="E16" i="125"/>
  <c r="E8" i="125" l="1"/>
  <c r="E19" i="125" s="1"/>
  <c r="E20" i="125" s="1"/>
  <c r="E21" i="125" s="1"/>
  <c r="I26" i="120" l="1"/>
  <c r="BO58" i="113" l="1"/>
  <c r="BO59" i="113"/>
  <c r="BO60" i="113"/>
  <c r="BO61" i="113"/>
  <c r="BO62" i="113"/>
  <c r="BO63" i="113"/>
  <c r="BO64" i="113"/>
  <c r="BO65" i="113"/>
  <c r="BO66" i="113"/>
  <c r="BO67" i="113"/>
  <c r="BO68" i="113"/>
  <c r="BO69" i="113"/>
  <c r="BO70" i="113"/>
  <c r="BO71" i="113"/>
  <c r="BO72" i="113"/>
  <c r="BO73" i="113"/>
  <c r="BO74" i="113"/>
  <c r="BO75" i="113"/>
  <c r="BO76" i="113"/>
  <c r="BO77" i="113"/>
  <c r="BO78" i="113"/>
  <c r="BO79" i="113"/>
  <c r="BO80" i="113"/>
  <c r="BO81" i="113"/>
  <c r="BO82" i="113"/>
  <c r="BO83" i="113"/>
  <c r="BO84" i="113"/>
  <c r="BO85" i="113"/>
  <c r="BO86" i="113"/>
  <c r="BO87" i="113"/>
  <c r="BO88" i="113"/>
  <c r="BO89" i="113"/>
  <c r="BO90" i="113"/>
  <c r="BO54" i="113"/>
  <c r="BN53" i="113"/>
  <c r="BN55" i="113"/>
  <c r="BN56" i="113"/>
  <c r="BN57" i="113"/>
  <c r="BN67" i="113"/>
  <c r="BN69" i="113"/>
  <c r="BN70" i="113"/>
  <c r="BN71" i="113"/>
  <c r="G19" i="68"/>
  <c r="G16" i="68"/>
  <c r="G17" i="68"/>
  <c r="G18" i="68"/>
  <c r="G20" i="68"/>
  <c r="G21" i="68"/>
  <c r="G22" i="68"/>
  <c r="G23" i="68"/>
  <c r="G24" i="68"/>
  <c r="G25" i="68"/>
  <c r="G26" i="68"/>
  <c r="G27" i="68"/>
  <c r="G28" i="68"/>
  <c r="G29" i="68"/>
  <c r="G30" i="68"/>
  <c r="G31" i="68"/>
  <c r="G32" i="68"/>
  <c r="G33" i="68"/>
  <c r="G34" i="68"/>
  <c r="G39" i="68"/>
  <c r="G40" i="68"/>
  <c r="G41" i="68"/>
  <c r="G42" i="68"/>
  <c r="G43" i="68"/>
  <c r="G44" i="68"/>
  <c r="G45" i="68"/>
  <c r="BF58" i="113"/>
  <c r="BF59" i="113"/>
  <c r="BF60" i="113"/>
  <c r="BF61" i="113"/>
  <c r="BF62" i="113"/>
  <c r="BF63" i="113"/>
  <c r="BF64" i="113"/>
  <c r="BF65" i="113"/>
  <c r="BF66" i="113"/>
  <c r="BF67" i="113"/>
  <c r="BF68" i="113"/>
  <c r="BF69" i="113"/>
  <c r="BF72" i="113"/>
  <c r="BF73" i="113"/>
  <c r="BF74" i="113"/>
  <c r="BF75" i="113"/>
  <c r="BF76" i="113"/>
  <c r="BF77" i="113"/>
  <c r="BF78" i="113"/>
  <c r="BF79" i="113"/>
  <c r="BF80" i="113"/>
  <c r="BF81" i="113"/>
  <c r="G7" i="68"/>
  <c r="G8" i="68"/>
  <c r="G11" i="68"/>
  <c r="G12" i="68"/>
  <c r="G13" i="68"/>
  <c r="G14" i="68"/>
  <c r="G15" i="68"/>
  <c r="B9" i="64"/>
  <c r="BN146" i="113" l="1"/>
  <c r="BO146" i="113"/>
  <c r="BF146" i="113"/>
  <c r="N70" i="117"/>
  <c r="D40" i="68" s="1"/>
  <c r="H40" i="68" s="1"/>
  <c r="O70" i="117"/>
  <c r="D41" i="68" s="1"/>
  <c r="H41" i="68" s="1"/>
  <c r="D13" i="68" l="1"/>
  <c r="H13" i="68" s="1"/>
  <c r="H12" i="68"/>
  <c r="D31" i="68"/>
  <c r="H31" i="68" s="1"/>
  <c r="H11" i="68"/>
  <c r="M170" i="127" l="1"/>
  <c r="M169" i="127"/>
  <c r="M138" i="100"/>
  <c r="M137" i="100"/>
  <c r="O67" i="46" l="1"/>
  <c r="M67" i="46"/>
  <c r="N67" i="46"/>
  <c r="D7" i="68" l="1"/>
  <c r="H7" i="68" s="1"/>
  <c r="D70" i="117"/>
  <c r="F70" i="117"/>
  <c r="G70" i="117"/>
  <c r="H70" i="117"/>
  <c r="E70" i="117"/>
  <c r="I70" i="117"/>
  <c r="J70" i="117"/>
  <c r="K70" i="117"/>
  <c r="L70" i="117"/>
  <c r="S70" i="117"/>
  <c r="P70" i="117"/>
  <c r="Q70" i="117"/>
  <c r="R70" i="117"/>
  <c r="C70" i="117"/>
  <c r="M62" i="117"/>
  <c r="M63" i="117"/>
  <c r="M64" i="117"/>
  <c r="M65" i="117"/>
  <c r="M66" i="117"/>
  <c r="M67" i="117"/>
  <c r="M68" i="117"/>
  <c r="M69" i="117"/>
  <c r="M61" i="117"/>
  <c r="M112" i="46" l="1"/>
  <c r="F12" i="64"/>
  <c r="M110" i="46"/>
  <c r="O110" i="46"/>
  <c r="M108" i="46"/>
  <c r="D45" i="68"/>
  <c r="H45" i="68" s="1"/>
  <c r="D44" i="68"/>
  <c r="H44" i="68" s="1"/>
  <c r="D43" i="68"/>
  <c r="H43" i="68" s="1"/>
  <c r="D42" i="68"/>
  <c r="H42" i="68" s="1"/>
  <c r="M70" i="117"/>
  <c r="D16" i="68"/>
  <c r="H16" i="68" s="1"/>
  <c r="D17" i="68"/>
  <c r="H17" i="68" s="1"/>
  <c r="D18" i="68"/>
  <c r="H18" i="68" s="1"/>
  <c r="D19" i="68"/>
  <c r="H19" i="68" s="1"/>
  <c r="D20" i="68"/>
  <c r="H20" i="68" s="1"/>
  <c r="D24" i="68"/>
  <c r="H24" i="68" s="1"/>
  <c r="D25" i="68"/>
  <c r="H25" i="68" s="1"/>
  <c r="D23" i="68"/>
  <c r="H23" i="68" s="1"/>
  <c r="D28" i="68"/>
  <c r="H28" i="68" s="1"/>
  <c r="D29" i="68"/>
  <c r="H29" i="68" s="1"/>
  <c r="D30" i="68"/>
  <c r="H30" i="68" s="1"/>
  <c r="D34" i="68"/>
  <c r="H34" i="68" s="1"/>
  <c r="E146" i="113"/>
  <c r="N112" i="46" l="1"/>
  <c r="C16" i="64"/>
  <c r="B16" i="64"/>
  <c r="C12" i="64"/>
  <c r="B6" i="64"/>
  <c r="B12" i="64"/>
  <c r="O23" i="46"/>
  <c r="M23" i="46"/>
  <c r="N23" i="46"/>
  <c r="M12" i="46"/>
  <c r="D39" i="68"/>
  <c r="H39" i="68" s="1"/>
  <c r="D27" i="68"/>
  <c r="H27" i="68" s="1"/>
  <c r="D26" i="68"/>
  <c r="H26" i="68" s="1"/>
  <c r="D33" i="68"/>
  <c r="H33" i="68" s="1"/>
  <c r="D32" i="68"/>
  <c r="D15" i="68"/>
  <c r="H15" i="68" s="1"/>
  <c r="D8" i="68"/>
  <c r="H8" i="68" s="1"/>
  <c r="D22" i="68"/>
  <c r="H22" i="68" s="1"/>
  <c r="D21" i="68"/>
  <c r="H21" i="68" s="1"/>
  <c r="D14" i="68"/>
  <c r="H14" i="68" s="1"/>
  <c r="B10" i="64"/>
  <c r="C25" i="64"/>
  <c r="H32" i="68" l="1"/>
  <c r="H46" i="68" s="1"/>
  <c r="L32" i="68"/>
  <c r="C26" i="64" l="1"/>
  <c r="C20" i="64"/>
  <c r="B20" i="64"/>
  <c r="C19" i="64"/>
  <c r="B19" i="64"/>
  <c r="H18" i="64"/>
  <c r="C17" i="64"/>
  <c r="B17" i="64"/>
  <c r="H13" i="64"/>
  <c r="H11" i="64"/>
  <c r="H10" i="64"/>
  <c r="H9" i="64"/>
  <c r="H12" i="64" l="1"/>
  <c r="H19" i="64" l="1"/>
  <c r="H20" i="64" s="1"/>
  <c r="F7" i="64"/>
  <c r="E7" i="64" s="1"/>
  <c r="G7" i="64" l="1"/>
  <c r="C7" i="64" s="1"/>
  <c r="C5" i="64" s="1"/>
  <c r="C4" i="64" s="1"/>
  <c r="I15" i="120" s="1"/>
  <c r="O22" i="46" l="1"/>
  <c r="N22" i="46" l="1"/>
  <c r="M22" i="46"/>
  <c r="N110" i="46" l="1"/>
  <c r="O24" i="46" l="1"/>
  <c r="N24" i="46"/>
  <c r="M24" i="46"/>
  <c r="N14" i="46"/>
  <c r="M14" i="46"/>
  <c r="O14" i="46"/>
  <c r="O21" i="46"/>
  <c r="M21" i="46" l="1"/>
  <c r="N21" i="46"/>
  <c r="G42" i="121" l="1"/>
  <c r="F41" i="121"/>
  <c r="G41" i="121" s="1"/>
  <c r="F39" i="121"/>
  <c r="F46" i="121" s="1"/>
  <c r="G46" i="121" s="1"/>
  <c r="G45" i="121" s="1"/>
  <c r="F37" i="121"/>
  <c r="G37" i="121" s="1"/>
  <c r="F36" i="121"/>
  <c r="G36" i="121" s="1"/>
  <c r="F33" i="121"/>
  <c r="G33" i="121" s="1"/>
  <c r="F32" i="121"/>
  <c r="G32" i="121" s="1"/>
  <c r="F29" i="121"/>
  <c r="G29" i="121" s="1"/>
  <c r="F28" i="121"/>
  <c r="G28" i="121" s="1"/>
  <c r="G25" i="121"/>
  <c r="G24" i="121"/>
  <c r="F23" i="121"/>
  <c r="F27" i="121" s="1"/>
  <c r="G27" i="121" s="1"/>
  <c r="F21" i="121"/>
  <c r="G21" i="121" s="1"/>
  <c r="G20" i="121" s="1"/>
  <c r="F19" i="121"/>
  <c r="G19" i="121" s="1"/>
  <c r="G18" i="121" s="1"/>
  <c r="G17" i="121"/>
  <c r="G16" i="121" s="1"/>
  <c r="F15" i="121"/>
  <c r="G15" i="121" s="1"/>
  <c r="G14" i="121" s="1"/>
  <c r="F13" i="121"/>
  <c r="G13" i="121" s="1"/>
  <c r="G11" i="121"/>
  <c r="G9" i="121"/>
  <c r="G7" i="121"/>
  <c r="G6" i="121" s="1"/>
  <c r="G5" i="121"/>
  <c r="G4" i="121"/>
  <c r="S17" i="100"/>
  <c r="S16" i="100"/>
  <c r="M17" i="46" l="1"/>
  <c r="G3" i="121"/>
  <c r="G12" i="121"/>
  <c r="O112" i="46"/>
  <c r="G8" i="121"/>
  <c r="G40" i="121"/>
  <c r="G10" i="121"/>
  <c r="F44" i="121"/>
  <c r="G44" i="121" s="1"/>
  <c r="G43" i="121" s="1"/>
  <c r="F48" i="121"/>
  <c r="G48" i="121" s="1"/>
  <c r="G47" i="121" s="1"/>
  <c r="F52" i="121"/>
  <c r="G52" i="121" s="1"/>
  <c r="G51" i="121" s="1"/>
  <c r="N17" i="46"/>
  <c r="S18" i="100"/>
  <c r="O19" i="46"/>
  <c r="G26" i="121"/>
  <c r="F50" i="121"/>
  <c r="G50" i="121" s="1"/>
  <c r="G49" i="121" s="1"/>
  <c r="F35" i="121"/>
  <c r="G35" i="121" s="1"/>
  <c r="G34" i="121" s="1"/>
  <c r="G39" i="121"/>
  <c r="G38" i="121" s="1"/>
  <c r="G23" i="121"/>
  <c r="G22" i="121" s="1"/>
  <c r="F31" i="121"/>
  <c r="G31" i="121" s="1"/>
  <c r="G30" i="121" s="1"/>
  <c r="N19" i="46" l="1"/>
  <c r="N108" i="46"/>
  <c r="N12" i="46"/>
  <c r="O17" i="46"/>
  <c r="M19" i="46"/>
  <c r="O108" i="46" l="1"/>
  <c r="O12" i="46"/>
  <c r="A35" i="70"/>
  <c r="A34" i="70"/>
  <c r="A31" i="70"/>
  <c r="A16" i="70"/>
  <c r="A15" i="70"/>
  <c r="A10" i="70"/>
  <c r="A6" i="70"/>
  <c r="A3" i="70"/>
  <c r="A2" i="70"/>
  <c r="A38" i="118"/>
  <c r="A35" i="118"/>
  <c r="A34" i="118"/>
  <c r="A31" i="118"/>
  <c r="A15" i="118"/>
  <c r="A10" i="118"/>
  <c r="A6" i="118"/>
  <c r="A3" i="118"/>
  <c r="A2" i="118"/>
  <c r="I11" i="120" l="1"/>
  <c r="C16" i="106" l="1"/>
  <c r="F16" i="106" l="1"/>
  <c r="G16" i="106"/>
  <c r="O25" i="46" l="1"/>
  <c r="N25" i="46"/>
  <c r="M25" i="46"/>
  <c r="H10" i="120" l="1"/>
  <c r="H9" i="120" s="1"/>
  <c r="D16" i="106" l="1"/>
  <c r="E16" i="106"/>
  <c r="N17" i="120" l="1"/>
  <c r="A47" i="70" l="1"/>
  <c r="A46" i="70"/>
  <c r="A43" i="70"/>
  <c r="A42" i="70"/>
  <c r="A47" i="118"/>
  <c r="A46" i="118"/>
  <c r="A43" i="118"/>
  <c r="A42" i="118"/>
  <c r="A47" i="119"/>
  <c r="A16" i="118" s="1"/>
  <c r="A46" i="119"/>
  <c r="A43" i="119"/>
  <c r="A42" i="119"/>
  <c r="M16" i="46" l="1"/>
  <c r="N16" i="46"/>
  <c r="O16" i="46"/>
  <c r="N11" i="46"/>
  <c r="O11" i="46"/>
  <c r="M11" i="46"/>
  <c r="M20" i="46" l="1"/>
  <c r="N20" i="46"/>
  <c r="O20" i="46"/>
  <c r="J7" i="92" l="1"/>
  <c r="J8" i="92" s="1"/>
  <c r="F36" i="105" l="1"/>
  <c r="F32" i="105"/>
  <c r="F28" i="105"/>
  <c r="F37" i="105"/>
  <c r="F33" i="105"/>
  <c r="F29" i="105"/>
  <c r="F41" i="105"/>
  <c r="F19" i="105"/>
  <c r="Q39" i="84" l="1"/>
  <c r="K39" i="84"/>
  <c r="I39" i="84"/>
  <c r="H39" i="84"/>
  <c r="Q38" i="84"/>
  <c r="K38" i="84"/>
  <c r="I38" i="84"/>
  <c r="H38" i="84"/>
  <c r="Q37" i="84"/>
  <c r="K37" i="84"/>
  <c r="I37" i="84"/>
  <c r="H37" i="84"/>
  <c r="S36" i="84"/>
  <c r="Q36" i="84"/>
  <c r="K36" i="84"/>
  <c r="I36" i="84"/>
  <c r="H36" i="84"/>
  <c r="Q35" i="84"/>
  <c r="K35" i="84"/>
  <c r="I35" i="84"/>
  <c r="H35" i="84"/>
  <c r="Q34" i="84"/>
  <c r="K34" i="84"/>
  <c r="I34" i="84"/>
  <c r="H34" i="84"/>
  <c r="S33" i="84"/>
  <c r="Q33" i="84"/>
  <c r="K33" i="84"/>
  <c r="I33" i="84"/>
  <c r="H33" i="84"/>
  <c r="Q32" i="84"/>
  <c r="K32" i="84"/>
  <c r="I32" i="84"/>
  <c r="H32" i="84"/>
  <c r="Q31" i="84"/>
  <c r="K31" i="84"/>
  <c r="I31" i="84"/>
  <c r="H31" i="84"/>
  <c r="Q30" i="84"/>
  <c r="K30" i="84"/>
  <c r="I30" i="84"/>
  <c r="H30" i="84"/>
  <c r="Q29" i="84"/>
  <c r="K29" i="84"/>
  <c r="I29" i="84"/>
  <c r="H29" i="84"/>
  <c r="Q28" i="84"/>
  <c r="K28" i="84"/>
  <c r="I28" i="84"/>
  <c r="H28" i="84"/>
  <c r="Q27" i="84"/>
  <c r="K27" i="84"/>
  <c r="I27" i="84"/>
  <c r="H27" i="84"/>
  <c r="Q26" i="84"/>
  <c r="K26" i="84"/>
  <c r="I26" i="84"/>
  <c r="H26" i="84"/>
  <c r="Q25" i="84"/>
  <c r="K25" i="84"/>
  <c r="I25" i="84"/>
  <c r="H25" i="84"/>
  <c r="Q24" i="84"/>
  <c r="K24" i="84"/>
  <c r="I24" i="84"/>
  <c r="H24" i="84"/>
  <c r="Q23" i="84"/>
  <c r="K23" i="84"/>
  <c r="I23" i="84"/>
  <c r="H23" i="84"/>
  <c r="Q22" i="84"/>
  <c r="K22" i="84"/>
  <c r="I22" i="84"/>
  <c r="H22" i="84"/>
  <c r="Q21" i="84"/>
  <c r="J21" i="84"/>
  <c r="H21" i="84" s="1"/>
  <c r="Q20" i="84"/>
  <c r="J20" i="84"/>
  <c r="H20" i="84" s="1"/>
  <c r="L20" i="84" s="1"/>
  <c r="Q19" i="84"/>
  <c r="J19" i="84"/>
  <c r="H19" i="84" s="1"/>
  <c r="L19" i="84" s="1"/>
  <c r="O19" i="84" s="1"/>
  <c r="Q18" i="84"/>
  <c r="J18" i="84"/>
  <c r="H18" i="84" s="1"/>
  <c r="L18" i="84" s="1"/>
  <c r="Q17" i="84"/>
  <c r="J17" i="84"/>
  <c r="H17" i="84" s="1"/>
  <c r="L17" i="84" s="1"/>
  <c r="O17" i="84" s="1"/>
  <c r="Q16" i="84"/>
  <c r="J16" i="84"/>
  <c r="H16" i="84" s="1"/>
  <c r="L16" i="84" s="1"/>
  <c r="Q15" i="84"/>
  <c r="K15" i="84"/>
  <c r="J15" i="84"/>
  <c r="H15" i="84" s="1"/>
  <c r="L15" i="84" s="1"/>
  <c r="Q14" i="84"/>
  <c r="J14" i="84"/>
  <c r="H14" i="84" s="1"/>
  <c r="L14" i="84" s="1"/>
  <c r="Q13" i="84"/>
  <c r="J13" i="84"/>
  <c r="H13" i="84" s="1"/>
  <c r="L13" i="84" s="1"/>
  <c r="Q11" i="84"/>
  <c r="K11" i="84"/>
  <c r="J11" i="84"/>
  <c r="H11" i="84" s="1"/>
  <c r="Q10" i="84"/>
  <c r="K10" i="84"/>
  <c r="J10" i="84"/>
  <c r="H10" i="84" s="1"/>
  <c r="Q9" i="84"/>
  <c r="K9" i="84"/>
  <c r="J9" i="84"/>
  <c r="H9" i="84" s="1"/>
  <c r="Q8" i="84"/>
  <c r="J8" i="84"/>
  <c r="K8" i="84" s="1"/>
  <c r="Q7" i="84"/>
  <c r="K7" i="84"/>
  <c r="K21" i="84" s="1"/>
  <c r="J7" i="84"/>
  <c r="H7" i="84" s="1"/>
  <c r="Q6" i="84"/>
  <c r="K6" i="84"/>
  <c r="I6" i="84"/>
  <c r="H6" i="84"/>
  <c r="L37" i="84" l="1"/>
  <c r="L9" i="84"/>
  <c r="O9" i="84" s="1"/>
  <c r="P9" i="84" s="1"/>
  <c r="L6" i="84"/>
  <c r="O6" i="84" s="1"/>
  <c r="R6" i="84" s="1"/>
  <c r="L36" i="84"/>
  <c r="O36" i="84" s="1"/>
  <c r="T36" i="84" s="1"/>
  <c r="L21" i="84"/>
  <c r="O21" i="84" s="1"/>
  <c r="L22" i="84"/>
  <c r="O22" i="84" s="1"/>
  <c r="L26" i="84"/>
  <c r="O26" i="84" s="1"/>
  <c r="L30" i="84"/>
  <c r="O30" i="84" s="1"/>
  <c r="O14" i="84"/>
  <c r="R14" i="84" s="1"/>
  <c r="O16" i="84"/>
  <c r="R16" i="84" s="1"/>
  <c r="O18" i="84"/>
  <c r="R18" i="84" s="1"/>
  <c r="O20" i="84"/>
  <c r="R20" i="84" s="1"/>
  <c r="O13" i="84"/>
  <c r="P13" i="84" s="1"/>
  <c r="L10" i="84"/>
  <c r="O10" i="84" s="1"/>
  <c r="H8" i="84"/>
  <c r="L8" i="84" s="1"/>
  <c r="L11" i="84"/>
  <c r="L25" i="84"/>
  <c r="O25" i="84" s="1"/>
  <c r="L29" i="84"/>
  <c r="O29" i="84" s="1"/>
  <c r="R29" i="84" s="1"/>
  <c r="L34" i="84"/>
  <c r="O34" i="84" s="1"/>
  <c r="P34" i="84" s="1"/>
  <c r="L38" i="84"/>
  <c r="O38" i="84" s="1"/>
  <c r="L39" i="84"/>
  <c r="O39" i="84" s="1"/>
  <c r="P39" i="84" s="1"/>
  <c r="L32" i="84"/>
  <c r="O32" i="84" s="1"/>
  <c r="T32" i="84" s="1"/>
  <c r="L33" i="84"/>
  <c r="O33" i="84" s="1"/>
  <c r="T33" i="84" s="1"/>
  <c r="R17" i="84"/>
  <c r="P17" i="84"/>
  <c r="R19" i="84"/>
  <c r="P19" i="84"/>
  <c r="O15" i="84"/>
  <c r="P15" i="84" s="1"/>
  <c r="L23" i="84"/>
  <c r="L24" i="84"/>
  <c r="L35" i="84"/>
  <c r="O37" i="84"/>
  <c r="P37" i="84" s="1"/>
  <c r="L7" i="84"/>
  <c r="L27" i="84"/>
  <c r="L28" i="84"/>
  <c r="L31" i="84"/>
  <c r="P14" i="84" l="1"/>
  <c r="T14" i="84" s="1"/>
  <c r="R36" i="84"/>
  <c r="P36" i="84"/>
  <c r="R33" i="84"/>
  <c r="P33" i="84"/>
  <c r="R32" i="84"/>
  <c r="T6" i="84"/>
  <c r="P32" i="84"/>
  <c r="P29" i="84"/>
  <c r="T29" i="84"/>
  <c r="P6" i="84"/>
  <c r="T13" i="84"/>
  <c r="R13" i="84"/>
  <c r="T19" i="84"/>
  <c r="T17" i="84"/>
  <c r="O8" i="84"/>
  <c r="P20" i="84"/>
  <c r="T20" i="84" s="1"/>
  <c r="P16" i="84"/>
  <c r="T16" i="84" s="1"/>
  <c r="O11" i="84"/>
  <c r="P11" i="84" s="1"/>
  <c r="P18" i="84"/>
  <c r="T18" i="84" s="1"/>
  <c r="O28" i="84"/>
  <c r="P28" i="84" s="1"/>
  <c r="T30" i="84"/>
  <c r="R30" i="84"/>
  <c r="T26" i="84"/>
  <c r="R26" i="84"/>
  <c r="R10" i="84"/>
  <c r="T25" i="84"/>
  <c r="R25" i="84"/>
  <c r="P30" i="84"/>
  <c r="O7" i="84"/>
  <c r="P7" i="84" s="1"/>
  <c r="T37" i="84"/>
  <c r="R37" i="84"/>
  <c r="O24" i="84"/>
  <c r="T39" i="84"/>
  <c r="R39" i="84"/>
  <c r="P26" i="84"/>
  <c r="P10" i="84"/>
  <c r="T10" i="84" s="1"/>
  <c r="P25" i="84"/>
  <c r="O23" i="84"/>
  <c r="P23" i="84" s="1"/>
  <c r="T38" i="84"/>
  <c r="R38" i="84"/>
  <c r="T22" i="84"/>
  <c r="R22" i="84"/>
  <c r="R21" i="84"/>
  <c r="O31" i="84"/>
  <c r="P31" i="84" s="1"/>
  <c r="O27" i="84"/>
  <c r="T34" i="84"/>
  <c r="R34" i="84"/>
  <c r="O35" i="84"/>
  <c r="R15" i="84"/>
  <c r="T15" i="84"/>
  <c r="P38" i="84"/>
  <c r="P22" i="84"/>
  <c r="P21" i="84"/>
  <c r="T9" i="84"/>
  <c r="R9" i="84"/>
  <c r="T21" i="84" l="1"/>
  <c r="R8" i="84"/>
  <c r="T8" i="84"/>
  <c r="T11" i="84"/>
  <c r="R11" i="84"/>
  <c r="P8" i="84"/>
  <c r="T35" i="84"/>
  <c r="R35" i="84"/>
  <c r="T27" i="84"/>
  <c r="R27" i="84"/>
  <c r="R24" i="84"/>
  <c r="T24" i="84"/>
  <c r="T31" i="84"/>
  <c r="R31" i="84"/>
  <c r="P24" i="84"/>
  <c r="R7" i="84"/>
  <c r="T7" i="84" s="1"/>
  <c r="T23" i="84"/>
  <c r="R23" i="84"/>
  <c r="P35" i="84"/>
  <c r="P27" i="84"/>
  <c r="R28" i="84"/>
  <c r="T28" i="84"/>
  <c r="G10" i="120" l="1"/>
  <c r="G9" i="120" s="1"/>
  <c r="G52" i="105" l="1"/>
  <c r="G51" i="105" s="1"/>
  <c r="G50" i="105"/>
  <c r="G49" i="105" s="1"/>
  <c r="G48" i="105"/>
  <c r="G47" i="105" s="1"/>
  <c r="G46" i="105"/>
  <c r="G45" i="105" s="1"/>
  <c r="G44" i="105"/>
  <c r="G43" i="105" s="1"/>
  <c r="G42" i="105"/>
  <c r="G41" i="105"/>
  <c r="G39" i="105"/>
  <c r="G38" i="105" s="1"/>
  <c r="G37" i="105"/>
  <c r="G36" i="105"/>
  <c r="G35" i="105"/>
  <c r="G33" i="105"/>
  <c r="G32" i="105"/>
  <c r="G31" i="105"/>
  <c r="G29" i="105"/>
  <c r="G28" i="105"/>
  <c r="G27" i="105"/>
  <c r="G25" i="105"/>
  <c r="G24" i="105"/>
  <c r="G23" i="105"/>
  <c r="F21" i="105"/>
  <c r="G21" i="105" s="1"/>
  <c r="G20" i="105" s="1"/>
  <c r="G19" i="105"/>
  <c r="G18" i="105" s="1"/>
  <c r="G17" i="105"/>
  <c r="G16" i="105" s="1"/>
  <c r="F15" i="105"/>
  <c r="G15" i="105" s="1"/>
  <c r="G14" i="105" s="1"/>
  <c r="F13" i="105"/>
  <c r="G13" i="105" s="1"/>
  <c r="F11" i="105"/>
  <c r="G9" i="105"/>
  <c r="G8" i="105" s="1"/>
  <c r="G7" i="105"/>
  <c r="G6" i="105" s="1"/>
  <c r="G5" i="105"/>
  <c r="G4" i="105"/>
  <c r="G11" i="105" l="1"/>
  <c r="G10" i="105" s="1"/>
  <c r="G30" i="105"/>
  <c r="G34" i="105"/>
  <c r="G40" i="105"/>
  <c r="G26" i="105"/>
  <c r="G22" i="105"/>
  <c r="G12" i="105"/>
  <c r="G3" i="105"/>
  <c r="H18" i="120" l="1"/>
  <c r="I35" i="64"/>
  <c r="H20" i="120" l="1"/>
  <c r="H19" i="120"/>
  <c r="H14" i="120"/>
  <c r="H13" i="120" s="1"/>
  <c r="H21" i="120" l="1"/>
  <c r="H22" i="120"/>
  <c r="G14" i="120"/>
  <c r="G13" i="120" s="1"/>
  <c r="G21" i="120" l="1"/>
  <c r="G22" i="120" s="1"/>
  <c r="G23" i="120" l="1"/>
  <c r="G17" i="120" s="1"/>
  <c r="G25" i="120"/>
  <c r="G24" i="120" s="1"/>
  <c r="F14" i="120" l="1"/>
  <c r="I14" i="120" l="1"/>
  <c r="I13" i="120" s="1"/>
  <c r="F13" i="120"/>
  <c r="F18" i="120"/>
  <c r="I18" i="120" l="1"/>
  <c r="F19" i="120" l="1"/>
  <c r="F10" i="120"/>
  <c r="I19" i="120" l="1"/>
  <c r="I21" i="120" s="1"/>
  <c r="F21" i="120"/>
  <c r="F9" i="120"/>
  <c r="I10" i="120"/>
  <c r="I9" i="120" s="1"/>
  <c r="I8" i="120" s="1"/>
  <c r="F11" i="92"/>
  <c r="CI13" i="97"/>
  <c r="BW26" i="97"/>
  <c r="BW25" i="97"/>
  <c r="BW15" i="97"/>
  <c r="CJ16" i="97"/>
  <c r="CT16" i="97"/>
  <c r="CS16" i="97"/>
  <c r="CE16" i="97"/>
  <c r="BU16" i="97"/>
  <c r="BV18" i="97"/>
  <c r="BV17" i="97"/>
  <c r="BT14" i="97"/>
  <c r="BV19" i="97"/>
  <c r="BS21" i="97"/>
  <c r="BS20" i="97"/>
  <c r="BS22" i="97"/>
  <c r="BS23" i="97"/>
  <c r="BS24" i="97"/>
  <c r="BY11" i="97"/>
  <c r="BY10" i="97"/>
  <c r="BY9" i="97"/>
  <c r="BZ8" i="97"/>
  <c r="CA12" i="97"/>
  <c r="CA10" i="97"/>
  <c r="CA9" i="97"/>
  <c r="CF11" i="97"/>
  <c r="CF8" i="97"/>
  <c r="CG10" i="97"/>
  <c r="CG12" i="97"/>
  <c r="CG9" i="97"/>
  <c r="CG8" i="97"/>
  <c r="BP10" i="97"/>
  <c r="CD10" i="97"/>
  <c r="CD11" i="97"/>
  <c r="BP12" i="97"/>
  <c r="CE12" i="97"/>
  <c r="CE13" i="97"/>
  <c r="BP14" i="97"/>
  <c r="CE14" i="97"/>
  <c r="CE15" i="97"/>
  <c r="CD9" i="97"/>
  <c r="BO9" i="97"/>
  <c r="BO10" i="97"/>
  <c r="BO11" i="97"/>
  <c r="BO12" i="97"/>
  <c r="BO14" i="97"/>
  <c r="CD8" i="97"/>
  <c r="CA8" i="97"/>
  <c r="BO8" i="97"/>
  <c r="F16" i="92"/>
  <c r="H25" i="120" l="1"/>
  <c r="H24" i="120" s="1"/>
  <c r="H23" i="120"/>
  <c r="H17" i="120" s="1"/>
  <c r="I28" i="120" l="1"/>
  <c r="F20" i="120" l="1"/>
  <c r="F19" i="92"/>
  <c r="I20" i="120" l="1"/>
  <c r="I22" i="120" s="1"/>
  <c r="F25" i="120"/>
  <c r="F24" i="120" s="1"/>
  <c r="F22" i="120"/>
  <c r="F23" i="120" s="1"/>
  <c r="F17" i="120" s="1"/>
  <c r="F14" i="92"/>
  <c r="F9" i="92" s="1"/>
  <c r="I25" i="120" l="1"/>
  <c r="I24" i="120" s="1"/>
  <c r="I23" i="120"/>
  <c r="I17" i="120" s="1"/>
  <c r="G9" i="92"/>
  <c r="F7" i="92" l="1"/>
  <c r="F18" i="92" s="1"/>
  <c r="G7" i="92" l="1"/>
  <c r="G24" i="92"/>
  <c r="G18" i="92"/>
  <c r="I26" i="92"/>
  <c r="I27" i="92" s="1"/>
  <c r="F20" i="92"/>
  <c r="G20" i="92" l="1"/>
  <c r="I27" i="120" l="1"/>
  <c r="I29" i="1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19" authorId="0" shapeId="0" xr:uid="{73A8E8C7-9148-4D9C-B371-48245B304555}">
      <text>
        <r>
          <rPr>
            <b/>
            <sz val="9"/>
            <color indexed="81"/>
            <rFont val="Tahoma"/>
            <family val="2"/>
          </rPr>
          <t>admin:</t>
        </r>
        <r>
          <rPr>
            <sz val="9"/>
            <color indexed="81"/>
            <rFont val="Tahoma"/>
            <family val="2"/>
          </rPr>
          <t xml:space="preserve">
Cũ: T4.7001</t>
        </r>
      </text>
    </comment>
    <comment ref="A227" authorId="0" shapeId="0" xr:uid="{1B96E97B-0896-4ECB-A0D8-0C474B6FFF09}">
      <text>
        <r>
          <rPr>
            <b/>
            <sz val="9"/>
            <color indexed="81"/>
            <rFont val="Tahoma"/>
            <family val="2"/>
          </rPr>
          <t>admin:</t>
        </r>
        <r>
          <rPr>
            <sz val="9"/>
            <color indexed="81"/>
            <rFont val="Tahoma"/>
            <family val="2"/>
          </rPr>
          <t xml:space="preserve">
Cũ: T4.7001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D20" authorId="0" shapeId="0" xr:uid="{4708B09C-5569-4157-AAFE-3636D5B37E3B}">
      <text>
        <r>
          <rPr>
            <b/>
            <sz val="9"/>
            <color indexed="81"/>
            <rFont val="Tahoma"/>
            <family val="2"/>
          </rPr>
          <t>admin:</t>
        </r>
        <r>
          <rPr>
            <sz val="9"/>
            <color indexed="81"/>
            <rFont val="Tahoma"/>
            <family val="2"/>
          </rPr>
          <t xml:space="preserve">
Lưu ý</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The Canh</author>
  </authors>
  <commentList>
    <comment ref="D7" authorId="0" shapeId="0" xr:uid="{00000000-0006-0000-0B00-000001000000}">
      <text>
        <r>
          <rPr>
            <b/>
            <sz val="9"/>
            <color indexed="81"/>
            <rFont val="Tahoma"/>
            <family val="2"/>
            <charset val="163"/>
          </rPr>
          <t>Đơn giá theo QD31/UBND 2013</t>
        </r>
      </text>
    </comment>
    <comment ref="D9" authorId="0" shapeId="0" xr:uid="{00000000-0006-0000-0B00-000002000000}">
      <text>
        <r>
          <rPr>
            <b/>
            <sz val="9"/>
            <color indexed="81"/>
            <rFont val="Tahoma"/>
            <family val="2"/>
            <charset val="163"/>
          </rPr>
          <t>Lương ngày công CN bậc 3,0/7 áp dụng cho công tác bốc xếp, vận chuyển vật liệu
khi vận dụng định mức lắp đặt đường dây và trạm biến áp
VB 10743</t>
        </r>
      </text>
    </comment>
  </commentList>
</comments>
</file>

<file path=xl/sharedStrings.xml><?xml version="1.0" encoding="utf-8"?>
<sst xmlns="http://schemas.openxmlformats.org/spreadsheetml/2006/main" count="4068" uniqueCount="1612">
  <si>
    <t>Đầu cosse ép đồng 120mm2</t>
  </si>
  <si>
    <t>Đà composite 75x75x6 - 0,8m (đỡ FCO)</t>
  </si>
  <si>
    <t>Thùng trạm tole 2 ngăn loại nằm</t>
  </si>
  <si>
    <t>Cáp đồng bọc hạ áp 600V loại CV.240mm2</t>
  </si>
  <si>
    <t>Chi phí xây dựng công trình chính, phụ trợ, tạm phục vụ thi công</t>
  </si>
  <si>
    <t>Chi phí thí nghiệm hiệu chỉnh TB (nếu có)</t>
  </si>
  <si>
    <t>Bảng 4</t>
  </si>
  <si>
    <t>Chi phí khác (nếu có)</t>
  </si>
  <si>
    <t>Tạm tính</t>
  </si>
  <si>
    <t>Tạm tính trên cơ sở đánh giá giá trị còn lại</t>
  </si>
  <si>
    <t>THÀNH TIỀN (đồng)</t>
  </si>
  <si>
    <t>GIÁ TRỊ TRƯỚC THUẾ
(đồng)</t>
  </si>
  <si>
    <t>BẢNG TỔNG KÊ PHẦN ĐƯỜNG DÂY TRUNG ÁP</t>
  </si>
  <si>
    <t>TÊN TRẠM BIẾN ÁP</t>
  </si>
  <si>
    <t>K.Lượng</t>
  </si>
  <si>
    <t>Thiết lập</t>
  </si>
  <si>
    <t>đà</t>
  </si>
  <si>
    <t>CÔNG  TRÌNH</t>
  </si>
  <si>
    <t>CÔNG TRÌNH</t>
  </si>
  <si>
    <t>BẢNG TỔNG KÊ PHẦN TRẠM BIẾN ÁP</t>
  </si>
  <si>
    <t>PHẦN XÀ, NÉO</t>
  </si>
  <si>
    <t>Bảng 3</t>
  </si>
  <si>
    <t>STT</t>
  </si>
  <si>
    <t>CÁCH TÍNH</t>
  </si>
  <si>
    <t>A</t>
  </si>
  <si>
    <t>B</t>
  </si>
  <si>
    <t>C</t>
  </si>
  <si>
    <t>đồng</t>
  </si>
  <si>
    <t>D</t>
  </si>
  <si>
    <t xml:space="preserve"> </t>
  </si>
  <si>
    <t>VL</t>
  </si>
  <si>
    <t>CHI PHÍ KHÁC</t>
  </si>
  <si>
    <t>CHI PHÍ DỰ PHÒNG</t>
  </si>
  <si>
    <t>MTC</t>
  </si>
  <si>
    <t>.</t>
  </si>
  <si>
    <t>KHOẢN MỤC CHI PHÍ</t>
  </si>
  <si>
    <t>KÝ 
HIỆU</t>
  </si>
  <si>
    <t xml:space="preserve">DIỄN GIẢI GIÁ TRỊ 
TRƯỚC THUẾ </t>
  </si>
  <si>
    <t>CHI PHÍ XÂY DỰNG</t>
  </si>
  <si>
    <t>CHI PHÍ THIẾT BỊ</t>
  </si>
  <si>
    <t>I</t>
  </si>
  <si>
    <t>II</t>
  </si>
  <si>
    <t>Chi phí mua sắm, vận chuyển</t>
  </si>
  <si>
    <t>B.1</t>
  </si>
  <si>
    <t>B.2</t>
  </si>
  <si>
    <t>III</t>
  </si>
  <si>
    <t>IV</t>
  </si>
  <si>
    <t>Đơn vị</t>
  </si>
  <si>
    <t>Đơn giá</t>
  </si>
  <si>
    <t>Thành tiền</t>
  </si>
  <si>
    <t xml:space="preserve">Nhân công </t>
  </si>
  <si>
    <t>Bộ</t>
  </si>
  <si>
    <t>Khối lượng</t>
  </si>
  <si>
    <t>Danh mục</t>
  </si>
  <si>
    <t>(1)</t>
  </si>
  <si>
    <t>(2)</t>
  </si>
  <si>
    <t>(3)</t>
  </si>
  <si>
    <t>(4)</t>
  </si>
  <si>
    <t>(5)</t>
  </si>
  <si>
    <t>(6)</t>
  </si>
  <si>
    <t>(7)</t>
  </si>
  <si>
    <t>(8)</t>
  </si>
  <si>
    <t>(9)=(4)x(5)</t>
  </si>
  <si>
    <t>(10)=(4)x(6)</t>
  </si>
  <si>
    <t>(11)=(4)x(7)</t>
  </si>
  <si>
    <t>(12)=(4)x(8)</t>
  </si>
  <si>
    <t>Số lượng</t>
  </si>
  <si>
    <t>Tên vật liệu</t>
  </si>
  <si>
    <t>Chi phí vận chuyển, bốc dỡ (nếu có)</t>
  </si>
  <si>
    <t>Chất lượng còn lại (%)</t>
  </si>
  <si>
    <t>Ghi chú</t>
  </si>
  <si>
    <t>Chi phí lắp đặt và TNHC thiết bị</t>
  </si>
  <si>
    <t>Chi phí lắp đặt TB</t>
  </si>
  <si>
    <t>A.1. PHẦN LẮP ĐẶT:</t>
  </si>
  <si>
    <t>TRUNG THẾ</t>
  </si>
  <si>
    <t>Chi phí mua sắm thiết bị</t>
  </si>
  <si>
    <t>TỔNG GIÁ TRỊ DỰ TOÁN</t>
  </si>
  <si>
    <t>Đơn giá ước tính</t>
  </si>
  <si>
    <t>Giá trị (đồng)</t>
  </si>
  <si>
    <t>Tổng cộng:</t>
  </si>
  <si>
    <t>Bảng 2</t>
  </si>
  <si>
    <t>Bảng 5</t>
  </si>
  <si>
    <t>Bảng 9</t>
  </si>
  <si>
    <t>Mã hiệu</t>
  </si>
  <si>
    <t>Thành tiền</t>
  </si>
  <si>
    <t>Nhân công</t>
  </si>
  <si>
    <t>cái</t>
  </si>
  <si>
    <t>bộ</t>
  </si>
  <si>
    <t>Long đền vuông d=18 mạ nhúng</t>
  </si>
  <si>
    <t>kg</t>
  </si>
  <si>
    <t>trụ</t>
  </si>
  <si>
    <t>m3</t>
  </si>
  <si>
    <t>N/ Công</t>
  </si>
  <si>
    <t>(4)x(8)</t>
  </si>
  <si>
    <t>VẬT TƯ THU HỒI</t>
  </si>
  <si>
    <t>tính</t>
  </si>
  <si>
    <t>T/bộ</t>
  </si>
  <si>
    <t>G</t>
  </si>
  <si>
    <t>A-PHẦN ĐƯỜNG DÂY TRUNG ÁP</t>
  </si>
  <si>
    <t>m</t>
  </si>
  <si>
    <t xml:space="preserve">Cáp đồng bọc trung áp 24kV - CX.25mm2 </t>
  </si>
  <si>
    <t>CÔNG TRÌNH: SỬA CHỮA CÁC TUYẾN ĐƯỜNG DÂY TRUNG ÁP, HẠ ÁP VÀ TRẠM BIẾN ÁP KHU VỰC ĐIỆN LỰC NINH PHƯỚC</t>
  </si>
  <si>
    <t>Keo dán ống nhựa PCV</t>
  </si>
  <si>
    <t>Cáp đồng bọc hạ áp 600V loại CV.95mm2</t>
  </si>
  <si>
    <t>Cáp đồng bọc hạ áp 600V loại CV.70mm2</t>
  </si>
  <si>
    <t xml:space="preserve">Băng keo cách điện hạ áp </t>
  </si>
  <si>
    <t>Cáp đồng bọc hạ áp 600V loại CV.50mm2</t>
  </si>
  <si>
    <t>Cáp đồng bọc hạ áp 600V loại CV.120mm2</t>
  </si>
  <si>
    <t>Giá đỡ FCO</t>
  </si>
  <si>
    <t>cuộn</t>
  </si>
  <si>
    <t xml:space="preserve">Thùng trạm tole 2 ngăn loại đứng </t>
  </si>
  <si>
    <t>VẬT TƯ, THIẾT BỊ DỰ ĐỊNH THU HỒI</t>
  </si>
  <si>
    <t>VẬT TƯ, THIẾT BỊ DỰ ĐỊNH THI CÔNG</t>
  </si>
  <si>
    <t>Đầu cosse ép đồng 95mm2</t>
  </si>
  <si>
    <t>Đầu cosse ép đồng 70mm2</t>
  </si>
  <si>
    <t>03.01.105</t>
  </si>
  <si>
    <t>(Bằng chữ: Mười một triệu, sáu mươi nghìn, chín trăm năm mươi bốn đồng)</t>
  </si>
  <si>
    <t>04.02.302</t>
  </si>
  <si>
    <t>1. BẢNG TỔNG HỢP THẨM ĐỊNH DỰ TOÁN KINH PHÍ SỬA CHỮA LỚN</t>
  </si>
  <si>
    <t>(A+B+C+D-E)</t>
  </si>
  <si>
    <t>E</t>
  </si>
  <si>
    <t>Bộ cách điện đứng Porcelain  24kV + ty D20</t>
  </si>
  <si>
    <t>FCO 27kV - 100A (loại polymer)</t>
  </si>
  <si>
    <t xml:space="preserve">LA 18kV (loại polymer) </t>
  </si>
  <si>
    <t>Thùng trạm composite 2 ngăn nằm (loại 1050x1150x400)</t>
  </si>
  <si>
    <t>Thùng trạm composite 2 ngăn đứng (loại 1050x600x400)</t>
  </si>
  <si>
    <t>Cáp đồng bọc hạ áp 600V loại CV.185mm2</t>
  </si>
  <si>
    <t>Cáp đồng bọc hạ áp 600V loại CV.150mm2</t>
  </si>
  <si>
    <t>Đầu cosse ép đồng 185mm2</t>
  </si>
  <si>
    <t>Đầu cosse ép đồng 240mm2</t>
  </si>
  <si>
    <t>Bộ đà composite 75x75x6 - 2,0m (FCO)</t>
  </si>
  <si>
    <t>Cua nhựa PVC Ø168</t>
  </si>
  <si>
    <t>Cua nhựa PVC Ø114</t>
  </si>
  <si>
    <t>Cua nhựa PVC Ø90</t>
  </si>
  <si>
    <t>Ống nhựa PVC Ø168</t>
  </si>
  <si>
    <t>Ống nhựa PVC Ø114</t>
  </si>
  <si>
    <t>Ống nhựa PVC Ø90</t>
  </si>
  <si>
    <t>Kẹp Quai + hotline</t>
  </si>
  <si>
    <t>Cáp đồng bọc hạ áp 600V loại CV.100mm2</t>
  </si>
  <si>
    <t>Cáp đồng bọc hạ áp 600V loại CV.35mm2</t>
  </si>
  <si>
    <t>HOÀI TRUNG 2-1x25kVA</t>
  </si>
  <si>
    <t>BƠM NHƯ BÌNH-3x25kVA</t>
  </si>
  <si>
    <t>NHƯ BÌNH-100kVA</t>
  </si>
  <si>
    <t>MỸ NGHIỆP 1-100kVA</t>
  </si>
  <si>
    <t>PHƯỚC THIỆN 1-180kVA</t>
  </si>
  <si>
    <t>VĨNH THUẬN 1-100kVA</t>
  </si>
  <si>
    <t>VĨNH THUẬN 4-160kVA</t>
  </si>
  <si>
    <t>THUẬN HÒA 4-3x50kVA</t>
  </si>
  <si>
    <t>THUẬN HÒA 5-3x50kVA</t>
  </si>
  <si>
    <t>HIỆP HÒA-3x50kVA</t>
  </si>
  <si>
    <t>THUẬN HÒA-250kVA</t>
  </si>
  <si>
    <t>PHƯỚC KHÁNH-250kVA</t>
  </si>
  <si>
    <t>LONG BÌNH 2-250kVA</t>
  </si>
  <si>
    <t>LONG BÌNH 3-250kVA</t>
  </si>
  <si>
    <t>LONG BÌNH 4-250kVA</t>
  </si>
  <si>
    <t>PHƯỚC KHÁNH 2-100kVA</t>
  </si>
  <si>
    <t>PHƯỚC KHÁNH 4-100kVA</t>
  </si>
  <si>
    <t>Aptomat 3 pha 3 cực 400A (Icu ≥ 50kA)</t>
  </si>
  <si>
    <t>Aptomat 3 pha 3 cực 250A (Icu ≥ 35kA)</t>
  </si>
  <si>
    <t>Aptomat 3 pha 3 cực 125A (Icu ≥ 35kA)</t>
  </si>
  <si>
    <t>Vật liệu trong định mức</t>
  </si>
  <si>
    <t>Vật liệu thuộc đối tượng lắp đặt</t>
  </si>
  <si>
    <t>PHẦN MÓNG  &amp; TIẾP ĐỊA</t>
  </si>
  <si>
    <t>Dây chảy 10K</t>
  </si>
  <si>
    <t>Dây chảy 8K</t>
  </si>
  <si>
    <t>Dây chảy 6K</t>
  </si>
  <si>
    <t>Dây chảy 3K</t>
  </si>
  <si>
    <t>Aptomat 3 pha 3 cực 100A (Icu ≥ 35kA)</t>
  </si>
  <si>
    <t>cọc</t>
  </si>
  <si>
    <t>Cáp đồng mềm 11x4mm2</t>
  </si>
  <si>
    <t>PHỤ KIỆN</t>
  </si>
  <si>
    <t>Cọc tiếp địa (cọc số 3)-hình vẽ</t>
  </si>
  <si>
    <t>Bộ đà composite 75x75x6 - 2,4m (FCO)-GIÀN</t>
  </si>
  <si>
    <t>Bộ đà composite 75x75x6 - 2,8m (FCO)-GIÀN</t>
  </si>
  <si>
    <t>Bộ đà composite 75x75x6 - 3,0m (FCO)-GIÀN</t>
  </si>
  <si>
    <t>Bộ đà composite 75x75x6 - 3,2m (FCO)-GIÀN</t>
  </si>
  <si>
    <t>Bộ đà composite 75x75x6 - 2,6m (FCO)-GIÀN</t>
  </si>
  <si>
    <t>Tiết giảm nhựa PVC Ø168/90</t>
  </si>
  <si>
    <t>Tiết giảm nhựa PVC Ø114/90</t>
  </si>
  <si>
    <t>Kẹp quai + hotline 2/0</t>
  </si>
  <si>
    <t>Đầu cosse ép đồng 50mm2</t>
  </si>
  <si>
    <t>Băng keo cách điện trung áp 3M</t>
  </si>
  <si>
    <t>Băng keo cách điện trung áp Silicon M70</t>
  </si>
  <si>
    <t>FCO 27kV - 100A (loại gốm)</t>
  </si>
  <si>
    <t xml:space="preserve">LA 18kV </t>
  </si>
  <si>
    <t>Đà sắt 75x75x8 - 2,0m -3 ốp</t>
  </si>
  <si>
    <t>Đà sắt 75x75x8 - 2,4m -3 ốp</t>
  </si>
  <si>
    <t>Đà sắt 75x75x8 - 2,6m  -3 ốp</t>
  </si>
  <si>
    <t>Đà sắt 75x75x8 - 2,8m  -3 ốp</t>
  </si>
  <si>
    <t>Đà sắt 75x75x8 - 3,0m  -3 ốp</t>
  </si>
  <si>
    <t>Đà sắt 75x75x8 - 3,2m  -3 ốp</t>
  </si>
  <si>
    <t>Cách điện đứng 24kV +ty</t>
  </si>
  <si>
    <t>Nối nhựa PVC Ø114</t>
  </si>
  <si>
    <t>Nối nhựa PVC Ø90</t>
  </si>
  <si>
    <t>D2.8102</t>
  </si>
  <si>
    <t>Cô dê cùm ống nhựa PVC Ø114</t>
  </si>
  <si>
    <t>Cô dê cùm ống nhựa PVC Ø90</t>
  </si>
  <si>
    <t>Cô dê cùm ống nhựa PVC Ø168</t>
  </si>
  <si>
    <t>Kẹp nối bọc IPC 95-95mm2</t>
  </si>
  <si>
    <t>Kẹp nối bọc IPC 150-240mm2</t>
  </si>
  <si>
    <t>Kẹp nối bọc IPC 120-120mm2</t>
  </si>
  <si>
    <t>Cáp đồng bọc hạ áp 600V loại CV.11mm2</t>
  </si>
  <si>
    <t>THÁI GIAO-3x25kVA</t>
  </si>
  <si>
    <t xml:space="preserve">Aptomat 3 pha 3 cực 250A </t>
  </si>
  <si>
    <t>Aptomat 3 pha 3 cực 225A (Icu ≥ 35kA)</t>
  </si>
  <si>
    <t>Aptomat 3 pha 3 cực 320A (Icu ≥ 50kA)</t>
  </si>
  <si>
    <t xml:space="preserve">Aptomat 3 pha 3 cực 225A </t>
  </si>
  <si>
    <t>Aptomat 3 pha 3 cực 320A</t>
  </si>
  <si>
    <t xml:space="preserve">Aptomat 3 pha 3 cực 150A </t>
  </si>
  <si>
    <t>Aptomat 3 pha 3 cực 150A (Icu ≥ 35kA)</t>
  </si>
  <si>
    <t>Aptomat 3 pha 3 cực 400A</t>
  </si>
  <si>
    <t xml:space="preserve">Aptomat 3 pha 3 cực 100A </t>
  </si>
  <si>
    <t>Aptomat 3 pha 3 cực 160A (Icu ≥ 35kA)</t>
  </si>
  <si>
    <t xml:space="preserve">Aptomat 3 pha 3 cực 160A </t>
  </si>
  <si>
    <t xml:space="preserve">Aptomat 3 pha 3 cực 125A </t>
  </si>
  <si>
    <t>Aptomat 3 pha 3 cực 500A</t>
  </si>
  <si>
    <t>Aptomat 3 pha 3 cực 500A (Icu ≥ 75kA)</t>
  </si>
  <si>
    <t>Aptomat 3 pha 3 cực 600A (Icu ≥ 75kA)</t>
  </si>
  <si>
    <t>Aptomat 3 pha 3 cực 600A</t>
  </si>
  <si>
    <t>Kẹp nối rẽ Cu-AL (3 bulon)</t>
  </si>
  <si>
    <t>Kẹp nối rẽ Cu-AL (2 bulon)</t>
  </si>
  <si>
    <t>PHƯỚC THIỆN 4-1x37,5kVA</t>
  </si>
  <si>
    <t>:</t>
  </si>
  <si>
    <t>TỔNG CỘNG:</t>
  </si>
  <si>
    <t>A.1. PHẦN LẮP ĐẶT</t>
  </si>
  <si>
    <t>Đổ BT móng bằng TC+CG đá 2x4, M200</t>
  </si>
  <si>
    <t>Tổng cộng</t>
  </si>
  <si>
    <t>m2</t>
  </si>
  <si>
    <t>04.02.102</t>
  </si>
  <si>
    <t>04.02.202</t>
  </si>
  <si>
    <t>BẢNG PHÂN TÍCH GIÁ CA MÁY</t>
  </si>
  <si>
    <t>Stt</t>
  </si>
  <si>
    <t>Mã CV</t>
  </si>
  <si>
    <t>Tên công việc</t>
  </si>
  <si>
    <t>Định mức</t>
  </si>
  <si>
    <t>AF.11210</t>
  </si>
  <si>
    <t>ca</t>
  </si>
  <si>
    <t>Máy đầm dùi 1,5KW</t>
  </si>
  <si>
    <t>Đóng cọc tiếp địa, đất cấp 2</t>
  </si>
  <si>
    <t>Máy hàn 14kW</t>
  </si>
  <si>
    <t>Dựng trụ thủ công + cơ giới trụ 12m</t>
  </si>
  <si>
    <t>Cẩu 10 tấn</t>
  </si>
  <si>
    <t>Dựng trụ thủ công + cơ giới trụ 8,5m</t>
  </si>
  <si>
    <t>Dựng trụ thủ công + cơ giới trụ 7,5m</t>
  </si>
  <si>
    <t>14.02.002</t>
  </si>
  <si>
    <t>Thay hệ thống tụ bù</t>
  </si>
  <si>
    <t>Cẩu 5 tấn</t>
  </si>
  <si>
    <t>TL</t>
  </si>
  <si>
    <t>V/chuyển vật tư phụ kiện từ các cơ sở tại TPHCM về công trình (cự ly 400km)</t>
  </si>
  <si>
    <t>Xã - Thị Trấn</t>
  </si>
  <si>
    <t>Số KH</t>
  </si>
  <si>
    <t>Phường Đạo Long</t>
  </si>
  <si>
    <t>PHẦN MÓNG &amp; TIẾP ĐỊA</t>
  </si>
  <si>
    <t>1</t>
  </si>
  <si>
    <t>(9)</t>
  </si>
  <si>
    <t>Bulon 16x300 mạ nhúng</t>
  </si>
  <si>
    <t>PHƯƠNG ÁN KỸ THUẬT - DỰ TOÁN</t>
  </si>
  <si>
    <t>SCL 2018 - 2</t>
  </si>
  <si>
    <t>Ghi 
chú</t>
  </si>
  <si>
    <t>Bulon 16x40 mạ nhúng</t>
  </si>
  <si>
    <t xml:space="preserve">PHẦN PHỤ KIỆN </t>
  </si>
  <si>
    <t>Móc treo chữ U</t>
  </si>
  <si>
    <t xml:space="preserve">Đơn giá ước tính </t>
  </si>
  <si>
    <t xml:space="preserve">BẢNG TỔNG KÊ PHẦN TRẠM BIẾN ÁP </t>
  </si>
  <si>
    <t>Tô Công Đức Thắng</t>
  </si>
  <si>
    <t>Huỳnh Ngọc Kỳ</t>
  </si>
  <si>
    <t>Cách điện treo polymer 24kV</t>
  </si>
  <si>
    <t>Số trụ</t>
  </si>
  <si>
    <t>Bulon 16x300 - VRS mạ nhúng</t>
  </si>
  <si>
    <t xml:space="preserve">PHẦN DÂY, SỨ VÀ PHỤ KIỆN </t>
  </si>
  <si>
    <t>chuỗi</t>
  </si>
  <si>
    <t xml:space="preserve"> PHẦN THÁO DỠ, THU HỒI</t>
  </si>
  <si>
    <t>04.03.132</t>
  </si>
  <si>
    <t>Nguyễn Duy Vương</t>
  </si>
  <si>
    <t>04.02.402</t>
  </si>
  <si>
    <t>sứ</t>
  </si>
  <si>
    <t>T4.7001</t>
  </si>
  <si>
    <t>13.01.002</t>
  </si>
  <si>
    <t>Chi phí chung</t>
  </si>
  <si>
    <t>TUY NEN DU LONG 2</t>
  </si>
  <si>
    <t>TUY NEN DU LONG 1</t>
  </si>
  <si>
    <t>MỸ NHƠN</t>
  </si>
  <si>
    <t>VẬT TƯ MỚI</t>
  </si>
  <si>
    <t>Vật liệu</t>
  </si>
  <si>
    <t>B - PHẦN TRẠM BIẾN ÁP</t>
  </si>
  <si>
    <t>B.1. PHẦN LẮP ĐẶT</t>
  </si>
  <si>
    <t>C-PHẦN ĐƯỜNG DÂY HẠ ÁP</t>
  </si>
  <si>
    <t>C.1. PHẦN LẮP ĐẶT:</t>
  </si>
  <si>
    <t>trụ 14</t>
  </si>
  <si>
    <t>trụ 12</t>
  </si>
  <si>
    <t>trụ 10,5</t>
  </si>
  <si>
    <r>
      <t>G</t>
    </r>
    <r>
      <rPr>
        <b/>
        <vertAlign val="subscript"/>
        <sz val="11"/>
        <color indexed="8"/>
        <rFont val="Times New Roman"/>
        <family val="1"/>
      </rPr>
      <t>XD</t>
    </r>
  </si>
  <si>
    <r>
      <t>G</t>
    </r>
    <r>
      <rPr>
        <b/>
        <vertAlign val="subscript"/>
        <sz val="11"/>
        <color indexed="8"/>
        <rFont val="Times New Roman"/>
        <family val="1"/>
      </rPr>
      <t>TB</t>
    </r>
  </si>
  <si>
    <r>
      <t>G</t>
    </r>
    <r>
      <rPr>
        <b/>
        <vertAlign val="subscript"/>
        <sz val="11"/>
        <color indexed="8"/>
        <rFont val="Times New Roman"/>
        <family val="1"/>
      </rPr>
      <t>K</t>
    </r>
  </si>
  <si>
    <r>
      <t>G</t>
    </r>
    <r>
      <rPr>
        <b/>
        <vertAlign val="subscript"/>
        <sz val="11"/>
        <color indexed="8"/>
        <rFont val="Times New Roman"/>
        <family val="1"/>
      </rPr>
      <t>DP</t>
    </r>
  </si>
  <si>
    <r>
      <t>G</t>
    </r>
    <r>
      <rPr>
        <b/>
        <vertAlign val="subscript"/>
        <sz val="11"/>
        <color indexed="8"/>
        <rFont val="Times New Roman"/>
        <family val="1"/>
      </rPr>
      <t>TH</t>
    </r>
  </si>
  <si>
    <t>Chi phí</t>
  </si>
  <si>
    <t>3/7</t>
  </si>
  <si>
    <t>3,5/7</t>
  </si>
  <si>
    <t>4/7</t>
  </si>
  <si>
    <t>4,5/7</t>
  </si>
  <si>
    <t>5/7</t>
  </si>
  <si>
    <t>Máy trộn 250l</t>
  </si>
  <si>
    <t>Dựng trụ 14m thủ công + cơ giới</t>
  </si>
  <si>
    <t>Thay hệ máy biến áp</t>
  </si>
  <si>
    <t>Kéo rải tiếp địa</t>
  </si>
  <si>
    <t>Máy hàn điện 14W</t>
  </si>
  <si>
    <t>05.02.105</t>
  </si>
  <si>
    <t>Thay dây nhôm lõi thép (AC, ACSR,...) bằng thủ công kết hợp cơ giới, tiết diện dây &lt;= 185mm2</t>
  </si>
  <si>
    <t>Máy rải dây</t>
  </si>
  <si>
    <t>Tời máy 5 T</t>
  </si>
  <si>
    <t>Máy ép thủy lực 100T</t>
  </si>
  <si>
    <t>05.02.104</t>
  </si>
  <si>
    <t>Thay dây nhôm lõi thép (AC, ACSR,...) bằng thủ công kết hợp cơ giới, tiết diện dây &lt;= 150mm2</t>
  </si>
  <si>
    <t>05.02.103</t>
  </si>
  <si>
    <t>Thay dây nhôm lõi thép (AC, ACSR,...) bằng thủ công kết hợp cơ giới, tiết diện dây &lt;= 120mm2</t>
  </si>
  <si>
    <t>05.02.401</t>
  </si>
  <si>
    <t>Thay dây đồng (M) bằng thủ công kết hợp cơ giới, tiết diện dây &lt;= 70mm2</t>
  </si>
  <si>
    <t>D3.4021</t>
  </si>
  <si>
    <t>Công tác ép khoá néo dây có tiết diện ≤120mm2</t>
  </si>
  <si>
    <t>Máy ép thuỷ lực</t>
  </si>
  <si>
    <t>Thay tủ điện hạ thế xoay chiều 3 pha</t>
  </si>
  <si>
    <t>Cẩu 5T</t>
  </si>
  <si>
    <t>D4.5008</t>
  </si>
  <si>
    <t>ép đầu cốt cáp có tiết diện ≤240mm2</t>
  </si>
  <si>
    <t>Máy ép đầu cốt</t>
  </si>
  <si>
    <t>D4.5007</t>
  </si>
  <si>
    <t>ép đầu cốt cáp có tiết diện ≤185mm2</t>
  </si>
  <si>
    <t>D4.5006</t>
  </si>
  <si>
    <t>ép đầu cốt cáp có tiết diện ≤150mm2</t>
  </si>
  <si>
    <t>D4.5005</t>
  </si>
  <si>
    <t>ép đầu cốt cáp có tiết diện ≤120mm2</t>
  </si>
  <si>
    <t>D4.5003</t>
  </si>
  <si>
    <t>ép đầu cốt cáp có tiết diện ≤70mm2</t>
  </si>
  <si>
    <t>trụ 8,5</t>
  </si>
  <si>
    <t>Lắp xà thép trụ néo, ≤ 100kg/xà (60,338kg)</t>
  </si>
  <si>
    <t>03.10.411</t>
  </si>
  <si>
    <t>5% x  (GXD+GTB+GK)</t>
  </si>
  <si>
    <t>TT 09 BXD</t>
  </si>
  <si>
    <t>BAÛNG TÍNH CHI PHÍ VAÄN CHUYEÅN ÑEÁN CHAÂN COÂNG TRÌNH</t>
  </si>
  <si>
    <t>Chuûng loaïi</t>
  </si>
  <si>
    <t>Ñôn</t>
  </si>
  <si>
    <t>Quy</t>
  </si>
  <si>
    <t>Nôi nhaän</t>
  </si>
  <si>
    <t>Cöï</t>
  </si>
  <si>
    <t>LOAÏI ÑÖÔØNG</t>
  </si>
  <si>
    <t>Toång</t>
  </si>
  <si>
    <t>Baäc</t>
  </si>
  <si>
    <t>HS</t>
  </si>
  <si>
    <t>Oâtoâ töï ñoå</t>
  </si>
  <si>
    <t>Coäng</t>
  </si>
  <si>
    <t>GIAÙ</t>
  </si>
  <si>
    <t>MSVT</t>
  </si>
  <si>
    <t>vaät lieäu</t>
  </si>
  <si>
    <t>vò</t>
  </si>
  <si>
    <t>ra</t>
  </si>
  <si>
    <t>ly</t>
  </si>
  <si>
    <t>LOAÏI 2</t>
  </si>
  <si>
    <t>LOAÏI 3</t>
  </si>
  <si>
    <t>cöôùc</t>
  </si>
  <si>
    <t>haøng</t>
  </si>
  <si>
    <t>baäc</t>
  </si>
  <si>
    <t>taêng 15%</t>
  </si>
  <si>
    <t>chi phí</t>
  </si>
  <si>
    <t>boác leân</t>
  </si>
  <si>
    <t>boác xuoáng</t>
  </si>
  <si>
    <t>GOÁC</t>
  </si>
  <si>
    <t>THAØNH</t>
  </si>
  <si>
    <t>(taán)</t>
  </si>
  <si>
    <t>(km)</t>
  </si>
  <si>
    <t>CL</t>
  </si>
  <si>
    <t>Cöôùc</t>
  </si>
  <si>
    <t>VC</t>
  </si>
  <si>
    <t>+3000ñ/T</t>
  </si>
  <si>
    <t>v. chuyeån</t>
  </si>
  <si>
    <t>12000ñ/T</t>
  </si>
  <si>
    <t>:A24.0797</t>
  </si>
  <si>
    <t>A001</t>
  </si>
  <si>
    <t>Xi maêng PC30</t>
  </si>
  <si>
    <t>Du Long</t>
  </si>
  <si>
    <t>A002</t>
  </si>
  <si>
    <t>Xi maêng PC40</t>
  </si>
  <si>
    <t>Phan Rang</t>
  </si>
  <si>
    <t>:A24.0798</t>
  </si>
  <si>
    <t>A003</t>
  </si>
  <si>
    <t>Xi maêng traéng</t>
  </si>
  <si>
    <t>Ph.Rang</t>
  </si>
  <si>
    <t>:A24.0398</t>
  </si>
  <si>
    <t>A004</t>
  </si>
  <si>
    <t>Ñaù 4x6</t>
  </si>
  <si>
    <t>Núi đất</t>
  </si>
  <si>
    <t>:A24.0008</t>
  </si>
  <si>
    <t>A005</t>
  </si>
  <si>
    <t>Ñaù 1x2</t>
  </si>
  <si>
    <t>Caáp phoái ñaù daêm</t>
  </si>
  <si>
    <t>Đèo Cậu</t>
  </si>
  <si>
    <t>A007</t>
  </si>
  <si>
    <t>Caùt ñaép neàn</t>
  </si>
  <si>
    <t>:A24.0023</t>
  </si>
  <si>
    <t>A009</t>
  </si>
  <si>
    <t>Ñaù cheû</t>
  </si>
  <si>
    <t>vien</t>
  </si>
  <si>
    <t>:A24.0180</t>
  </si>
  <si>
    <t>Caùt vaøng</t>
  </si>
  <si>
    <t>Phước Mỹ</t>
  </si>
  <si>
    <t>:A24.0738</t>
  </si>
  <si>
    <t>A046</t>
  </si>
  <si>
    <t>Theùp F8</t>
  </si>
  <si>
    <t>:A24.0739</t>
  </si>
  <si>
    <t>A047</t>
  </si>
  <si>
    <t>Theùp F&lt;18</t>
  </si>
  <si>
    <t>:A24.0742</t>
  </si>
  <si>
    <t>A048</t>
  </si>
  <si>
    <t>Theùp F&gt;18</t>
  </si>
  <si>
    <t>:A24.0712</t>
  </si>
  <si>
    <t>A045</t>
  </si>
  <si>
    <t>Theùp hình</t>
  </si>
  <si>
    <t>:A24.0726</t>
  </si>
  <si>
    <t>A044</t>
  </si>
  <si>
    <t>Theùp taám</t>
  </si>
  <si>
    <t>:A24.0418</t>
  </si>
  <si>
    <t>A031</t>
  </si>
  <si>
    <t>Goã vaùn</t>
  </si>
  <si>
    <t>:A24.0425</t>
  </si>
  <si>
    <t>A029</t>
  </si>
  <si>
    <t>Goã xeû</t>
  </si>
  <si>
    <t>:A24.0405</t>
  </si>
  <si>
    <t>A173</t>
  </si>
  <si>
    <t>Goã ñaø neïp</t>
  </si>
  <si>
    <t>:A24.0054</t>
  </si>
  <si>
    <t>A076</t>
  </si>
  <si>
    <t>Ñinh caùc loaïi</t>
  </si>
  <si>
    <t>:A24.0293</t>
  </si>
  <si>
    <t>A075</t>
  </si>
  <si>
    <t>Keõm buoäc</t>
  </si>
  <si>
    <t>:A24.0533</t>
  </si>
  <si>
    <t>A063</t>
  </si>
  <si>
    <t>Pheøn chua</t>
  </si>
  <si>
    <t>:A24.0543</t>
  </si>
  <si>
    <t>A067</t>
  </si>
  <si>
    <t>Que haøn</t>
  </si>
  <si>
    <t>:A24.0576</t>
  </si>
  <si>
    <t>A052</t>
  </si>
  <si>
    <t>Sôn daàu</t>
  </si>
  <si>
    <t>:A24.0582</t>
  </si>
  <si>
    <t>A036</t>
  </si>
  <si>
    <t>Toân keõm  4,5dem</t>
  </si>
  <si>
    <t>:A24.0583</t>
  </si>
  <si>
    <t>Sôn nöôùc tr.nhaø</t>
  </si>
  <si>
    <t>:A24.0594</t>
  </si>
  <si>
    <t>Sôn choáng kieàm</t>
  </si>
  <si>
    <t>:A24.0765</t>
  </si>
  <si>
    <t>A050</t>
  </si>
  <si>
    <t>Voâi</t>
  </si>
  <si>
    <t>:A24.0479</t>
  </si>
  <si>
    <t>A064</t>
  </si>
  <si>
    <t>Matic</t>
  </si>
  <si>
    <t>:A24.0103</t>
  </si>
  <si>
    <t>A049</t>
  </si>
  <si>
    <t>Boät maøu</t>
  </si>
  <si>
    <t>:A24.0098</t>
  </si>
  <si>
    <t>A057</t>
  </si>
  <si>
    <t>Boät ñaù</t>
  </si>
  <si>
    <t>:A24.0050</t>
  </si>
  <si>
    <t>A065</t>
  </si>
  <si>
    <t>Ñaát ñeøn</t>
  </si>
  <si>
    <t>:A24.0036</t>
  </si>
  <si>
    <t>A056</t>
  </si>
  <si>
    <t>Ñaù maøi traéng</t>
  </si>
  <si>
    <t>:A24.0396</t>
  </si>
  <si>
    <t>A155</t>
  </si>
  <si>
    <t>Gaïch theû</t>
  </si>
  <si>
    <t>Vien</t>
  </si>
  <si>
    <t>:A24.0386</t>
  </si>
  <si>
    <t>A156</t>
  </si>
  <si>
    <t>Gaïch oáng khoâng nung</t>
  </si>
  <si>
    <t>Phöôùc Nam</t>
  </si>
  <si>
    <t>Núi Ông Ngài</t>
  </si>
  <si>
    <t>PL1: 63</t>
  </si>
  <si>
    <t>PL1: 61</t>
  </si>
  <si>
    <t>PL2: 209</t>
  </si>
  <si>
    <t>PL2: 187</t>
  </si>
  <si>
    <t>PL3: 463</t>
  </si>
  <si>
    <t>PL2: 136</t>
  </si>
  <si>
    <t>Xe nâng 12 m</t>
  </si>
  <si>
    <t>PL2: 157</t>
  </si>
  <si>
    <t>Vùng 3</t>
  </si>
  <si>
    <t>nhom1 3/7</t>
  </si>
  <si>
    <t>nhom2 3/7</t>
  </si>
  <si>
    <t>Đà sắt L75x75x8-2400 - 4 ốp m.nhúng (24,969kg)</t>
  </si>
  <si>
    <t>Thanh chống PL 60x6 - 920 (2,6kg)</t>
  </si>
  <si>
    <t xml:space="preserve">TRẠM PHÂN PHỐI </t>
  </si>
  <si>
    <t>nhom1 3,5/7</t>
  </si>
  <si>
    <t>Người Lập</t>
  </si>
  <si>
    <t>TẬP I: THUYẾT MINH - TỔ CHỨC XÂY DỰNG</t>
  </si>
  <si>
    <t>TẬP II: CÁC BẢN VẼ</t>
  </si>
  <si>
    <t>TẬP III: DỰ TOÁN</t>
  </si>
  <si>
    <t>Chủ trì dự toán</t>
  </si>
  <si>
    <t>BẢNG TỔNG KÊ PHẦN ĐƯỜNG DÂY HẠ ÁP</t>
  </si>
  <si>
    <t>( Giá vật liệu tháng 6/2022, Công văn số 1846/SXD-QLHĐXD&amp;HTKT ngày 10 tháng 6 năm 2022 của Sở Xây dựng Ninh Thuận)</t>
  </si>
  <si>
    <t>NỘI DUNG CHI PHÍ</t>
  </si>
  <si>
    <t>TỔNG CỘNG (đồng)</t>
  </si>
  <si>
    <t>CHI PHÍ SỬA CHỮA</t>
  </si>
  <si>
    <t>2. BẢNG TỔNG HỢP CHI PHÍ VẬT LIỆU, THIẾT BỊ, NHÂN CÔNG, MÁY THI CÔNG</t>
  </si>
  <si>
    <t>4. BẢNG TÍNH VẬN CHUYỂN - BỐC DỠ</t>
  </si>
  <si>
    <t>A2. PHẦN THIẾT BỊ</t>
  </si>
  <si>
    <t>B2. PHẦN THIẾT BỊ</t>
  </si>
  <si>
    <t>CÔNG TRÌNH: SỬA CHỮA LƯỚI ĐIỆN PHÂN PHỐI KHU VỰC HUYỆN THUẬN BẮC NĂM 2024</t>
  </si>
  <si>
    <t>(7)=(5)+(6)</t>
  </si>
  <si>
    <t>Chi phí thiết bị</t>
  </si>
  <si>
    <t>1.1 + 1.2 +1.3</t>
  </si>
  <si>
    <t>1.1</t>
  </si>
  <si>
    <t>Mua sắm thiết bị</t>
  </si>
  <si>
    <t>1.2</t>
  </si>
  <si>
    <t>Chi phí vận chuyển thiết bị đến công trình</t>
  </si>
  <si>
    <t>1.3</t>
  </si>
  <si>
    <t>Chi phí thí nghiệm hiệu chỉnh (TNHC)</t>
  </si>
  <si>
    <t>Chi phí vật tư</t>
  </si>
  <si>
    <t>2.1 + 2.2 +2.3</t>
  </si>
  <si>
    <t>2.1</t>
  </si>
  <si>
    <t>Mua sắm vật tư</t>
  </si>
  <si>
    <t>2.2</t>
  </si>
  <si>
    <t>2.3</t>
  </si>
  <si>
    <t>1+2+3+4+5</t>
  </si>
  <si>
    <t>Chi phí vật liệu (trong định mức)</t>
  </si>
  <si>
    <t>NC</t>
  </si>
  <si>
    <t>M</t>
  </si>
  <si>
    <t>65% x (NC)</t>
  </si>
  <si>
    <t>Thu nhập chịu thuế tính trước</t>
  </si>
  <si>
    <t>6% x (VL+NC+M+C)</t>
  </si>
  <si>
    <t>Giá trị sửa chữa trước thuế</t>
  </si>
  <si>
    <t>Chi phí nhà tạm để ở và điều hành thi công</t>
  </si>
  <si>
    <t>LT</t>
  </si>
  <si>
    <t xml:space="preserve">2,2% x (VL+NC+M) </t>
  </si>
  <si>
    <t>F</t>
  </si>
  <si>
    <t>CHI PHÍ VẬT TƯ THIẾT BỊ</t>
  </si>
  <si>
    <t>RAU CÂU SƠN HẢI</t>
  </si>
  <si>
    <t>BỆNH VIỆN THUẬN BẮC</t>
  </si>
  <si>
    <t>NAM THÀNH 1</t>
  </si>
  <si>
    <t>NAM THÀNH 2</t>
  </si>
  <si>
    <t>KIỀN KIỀN</t>
  </si>
  <si>
    <t>HIỆP KIẾT</t>
  </si>
  <si>
    <t>XÓM BẰNG</t>
  </si>
  <si>
    <t>1x5</t>
  </si>
  <si>
    <t>1x20</t>
  </si>
  <si>
    <t>3x5</t>
  </si>
  <si>
    <t>2x5</t>
  </si>
  <si>
    <t>1x10</t>
  </si>
  <si>
    <t>2x2,5</t>
  </si>
  <si>
    <t>3x2,5</t>
  </si>
  <si>
    <t>1x2,5</t>
  </si>
  <si>
    <t>MCB 3 cực 50A</t>
  </si>
  <si>
    <t>Cọc + kẹp tiếp đất Ø16-2m4 mạ nhúng</t>
  </si>
  <si>
    <t>Dây đồng trần C.25mm²</t>
  </si>
  <si>
    <t>Kẹp WR 279</t>
  </si>
  <si>
    <t>Bộ dây đai + khóa đai cùm bộ nối đất (1m dây đai + khóa đai)</t>
  </si>
  <si>
    <t>Vật tư mới</t>
  </si>
  <si>
    <t>Vật tư thu hồi</t>
  </si>
  <si>
    <t>3</t>
  </si>
  <si>
    <t>Đóng cọc tiếp đất</t>
  </si>
  <si>
    <t>Kéo rãi dây tiếp địa</t>
  </si>
  <si>
    <t>T4.7312</t>
  </si>
  <si>
    <t>C - PHẦN ĐƯỜNG DÂY HẠ ÁP</t>
  </si>
  <si>
    <t>AB.11502</t>
  </si>
  <si>
    <t>m³</t>
  </si>
  <si>
    <t>PHẦN PHỤ KIỆN</t>
  </si>
  <si>
    <t>HẠ THẾ</t>
  </si>
  <si>
    <t>Đào kênh mương, rãnh thoát nước bằng thủ công, rộng ≤1m, sâu ≤1m-đất cấp II (QĐ30/2022UBND TỈNH)</t>
  </si>
  <si>
    <t>AB.65110</t>
  </si>
  <si>
    <t>Lấp đất, độ chặt K=0,85 (bằng máy đầm đất 
cầm tay 70 kg)</t>
  </si>
  <si>
    <t>Máy đầm đất cầm tay 70kg</t>
  </si>
  <si>
    <t>bậc 4/7 nhóm 2</t>
  </si>
  <si>
    <t xml:space="preserve">    </t>
  </si>
  <si>
    <t>Kẹp Splitbolt 4/0</t>
  </si>
  <si>
    <t>Kẹp Splitbolt 2/0</t>
  </si>
  <si>
    <t>Bộ tiếp địa bổ sung</t>
  </si>
  <si>
    <t xml:space="preserve">móng </t>
  </si>
  <si>
    <t>PHẦN MÓNG BỘ TIẾP ĐỊA BỔ SUNG</t>
  </si>
  <si>
    <t>Cọc + kẹp tiếp đất Ø16-2m4 mạ nhúng (6 cọc/1bộ)</t>
  </si>
  <si>
    <t>Dây đồng trần C.25mm² (15m/1bộ)</t>
  </si>
  <si>
    <t>01.03.001</t>
  </si>
  <si>
    <t>CÔNG TY ĐIỆN LỰC KHÁNH HÒA</t>
  </si>
  <si>
    <t>SCL - 2026</t>
  </si>
  <si>
    <t>SỬA CHỮA LỚN NĂM 2026</t>
  </si>
  <si>
    <t>Móng trụ M12-bt</t>
  </si>
  <si>
    <t>Bộ đà néo N-2,4m + đà 2,4 composite</t>
  </si>
  <si>
    <t>Bộ Uclevis + sứ ống chỉ đỡ lắp trên trụ đơn</t>
  </si>
  <si>
    <t>Vât tư sử dụng lại</t>
  </si>
  <si>
    <t>476NH/60</t>
  </si>
  <si>
    <t>475DL/200</t>
  </si>
  <si>
    <t>2</t>
  </si>
  <si>
    <t>móng</t>
  </si>
  <si>
    <t>Cát vàng</t>
  </si>
  <si>
    <t>Gỗ ván</t>
  </si>
  <si>
    <t>Nước trộn</t>
  </si>
  <si>
    <t>AB.11442</t>
  </si>
  <si>
    <t>Đào đất, đất cấp 2 (TT 12/2021)</t>
  </si>
  <si>
    <t>AB.13111</t>
  </si>
  <si>
    <t>Đổ bê tông móng bằng TC+CG M200</t>
  </si>
  <si>
    <t>Ximăng PC 40</t>
  </si>
  <si>
    <t xml:space="preserve">Đá 1x2 </t>
  </si>
  <si>
    <t>Lấp đất, độ chặt K=0,85 (TT 12/2021)</t>
  </si>
  <si>
    <t xml:space="preserve"> - Máy đầm dùi 1,5kW</t>
  </si>
  <si>
    <t xml:space="preserve"> - Máy trộn bê tông 250l</t>
  </si>
  <si>
    <t>PHẦN TRỤ</t>
  </si>
  <si>
    <t>Trụ</t>
  </si>
  <si>
    <t>Sơn lót dán decal số trụ ((0,24x0,15)m2; 0,164kg/m2)</t>
  </si>
  <si>
    <t>Biển chỉ danh đánh số trụ (decal)</t>
  </si>
  <si>
    <t>Dựng trụ 12m thủ công + cơ giới (ĐGSC203)</t>
  </si>
  <si>
    <t>Bộ đà đỡ đơn 2,4m (4 ốp), lắp trụ đơn</t>
  </si>
  <si>
    <t>Bộ đà néo 2,4m (4 ốp), lắp trụ đơn</t>
  </si>
  <si>
    <t>Bộ đà néo kép 2,4m (3 ốp), lắp trụ pi</t>
  </si>
  <si>
    <t>Bộ đà néo kép 2,4m (4 ốp), lắp trụ đơn.</t>
  </si>
  <si>
    <t>Bộ đà néo kép 2,0m (2 ốp) lắp trụ đơn</t>
  </si>
  <si>
    <t>Đà Composite 75x75x2400 dày 6mm (7,83kg)</t>
  </si>
  <si>
    <t>Bulon 16x550 - VRS mạ nhúng</t>
  </si>
  <si>
    <t>thanh</t>
  </si>
  <si>
    <t>Sứ ống chỉ 600V</t>
  </si>
  <si>
    <t>Uclevis (dày 3mm) mạ nhúng</t>
  </si>
  <si>
    <t>04.03.111</t>
  </si>
  <si>
    <t>Lắp Uclevis + Sứ ống chỉ, (ĐM203)</t>
  </si>
  <si>
    <t>Bộ sứ ống chỉ đỡ lắp trên trụ đơn</t>
  </si>
  <si>
    <t>cây</t>
  </si>
  <si>
    <t xml:space="preserve">Lắp đặt tiếp địa cột điện </t>
  </si>
  <si>
    <t>Kẹp  Hotline 2/0</t>
  </si>
  <si>
    <t xml:space="preserve">Kẹp quai 4/0 (loại vòng ty) </t>
  </si>
  <si>
    <t xml:space="preserve">Kẹp quai 4/0 (loại ty) </t>
  </si>
  <si>
    <t>Kệp Hotline 2/0</t>
  </si>
  <si>
    <t xml:space="preserve">Bộ cách điện treo 24kV polymer </t>
  </si>
  <si>
    <t>Chuổi sứ treo 24kV  polymer (sử dụng lại)</t>
  </si>
  <si>
    <t xml:space="preserve">Bộ cách điện đứng 24kV  polymer </t>
  </si>
  <si>
    <t>Cách điện đứng 24kV polymer + ty D20 (sử dụng lại)</t>
  </si>
  <si>
    <t xml:space="preserve">Tháo, lắp cách điện treo 24kV  polymer </t>
  </si>
  <si>
    <t xml:space="preserve">Tháo lắp cách điện đứng 24kV  </t>
  </si>
  <si>
    <t>Khóa néo 3U</t>
  </si>
  <si>
    <t>Nhổ trụ 12m thủ công + cơ giới</t>
  </si>
  <si>
    <t xml:space="preserve">Bộ đà néo kép 2m4 (4ốp) </t>
  </si>
  <si>
    <t xml:space="preserve">Bộ đà đỡ đơn sắt 2m4 (4ốp) </t>
  </si>
  <si>
    <t>Bộ đà kép néo 2m (2 ốp)</t>
  </si>
  <si>
    <t>V</t>
  </si>
  <si>
    <t>CÔNG TRÌNH: SỬA CHỮA LƯỚI ĐIỆN TRUNG HẠ ÁP KHU VỰC ĐỘI QUẢN LÝ ĐIỆN THUẬN BẮC NĂM 2026</t>
  </si>
  <si>
    <t>TT. Tổ QLKT</t>
  </si>
  <si>
    <t>TT.  Tổ QLKT</t>
  </si>
  <si>
    <t>Bốc dỡ trụ</t>
  </si>
  <si>
    <t>làm trò số chuyến</t>
  </si>
  <si>
    <t>tấn</t>
  </si>
  <si>
    <t>Tổng KL</t>
  </si>
  <si>
    <t>4</t>
  </si>
  <si>
    <t>5</t>
  </si>
  <si>
    <t>7</t>
  </si>
  <si>
    <t>9</t>
  </si>
  <si>
    <t>11</t>
  </si>
  <si>
    <t>CN2.5.I</t>
  </si>
  <si>
    <t>Công nhân 2,5 /7</t>
  </si>
  <si>
    <t>CN3.I</t>
  </si>
  <si>
    <t>Công nhân 3,0 /7</t>
  </si>
  <si>
    <t>CN3.5.I</t>
  </si>
  <si>
    <t>Công nhân 3,5 /7</t>
  </si>
  <si>
    <t>CN5.I</t>
  </si>
  <si>
    <t>CN5.5.I</t>
  </si>
  <si>
    <t>Công nhân 5,5 /7</t>
  </si>
  <si>
    <t>CN6.I</t>
  </si>
  <si>
    <t>Công nhân 6,0 /7</t>
  </si>
  <si>
    <t>Bộ nối đất LA, MBA - Cọc số 1(2)(gia công như hình vẽ)</t>
  </si>
  <si>
    <t>Cosse ép đầu bít 50mm2</t>
  </si>
  <si>
    <t>Bulon 10x30</t>
  </si>
  <si>
    <t>Long đền tròn chống bung Ø12</t>
  </si>
  <si>
    <t>Kẹp WR 815 (25-70/120-150mm2)</t>
  </si>
  <si>
    <t>Bộ tiếp đất lặp lại (trụ 12m) - cáp thép</t>
  </si>
  <si>
    <t>QĐ33</t>
  </si>
  <si>
    <t>01.02.001</t>
  </si>
  <si>
    <t>04.03.121</t>
  </si>
  <si>
    <t>04.03.122</t>
  </si>
  <si>
    <t>Kẹp Hotline 2/0</t>
  </si>
  <si>
    <t>PHẦN TIẾP ĐỊA</t>
  </si>
  <si>
    <t xml:space="preserve">PHẦN MÓNG </t>
  </si>
  <si>
    <t>Dây đồng trần C-25 (6m)</t>
  </si>
  <si>
    <t>VI</t>
  </si>
  <si>
    <t>Bộ đà kép néo 2m (2 ốp) lắp trụ đơn</t>
  </si>
  <si>
    <t>Cáp nhôm trần lõi thép AC.95 (2,80m/sứ (sợi) tiết diện 120 - 185mm2) (248 vị trí)
((số sứ *2,8m)/6)*0,384g/m</t>
  </si>
  <si>
    <t xml:space="preserve"> VẬN CHUYỂN, BỐC DỠ VẬT LIỆU</t>
  </si>
  <si>
    <t>PHẦN ĐƯỜNG DÂY</t>
  </si>
  <si>
    <t xml:space="preserve">  Nhân công bốc dỡ = (0 trụ x 0,939tấn/trụ) x 0,25công/tấn x 248.692đ/công x 2lần  =</t>
  </si>
  <si>
    <t xml:space="preserve">  Nhân công bốc dỡ = (4 trụ x 0,49tấn/trụ 7,5m) x 0,25công/tấn x 248.692đ/công x 2lần  =</t>
  </si>
  <si>
    <t>trụ 7,5</t>
  </si>
  <si>
    <t>Bốc dỡ lốc bê tông</t>
  </si>
  <si>
    <t>lốc</t>
  </si>
  <si>
    <t>Bốc dỡ dây dẫn</t>
  </si>
  <si>
    <t xml:space="preserve">              Nhân công bốc dỡ (bậc thợ 3/7) = 1,5 tấn x 0,3công/tấn x 178.308đ/công x 2lần  =</t>
  </si>
  <si>
    <t xml:space="preserve">              Cẩu 5 tấn bốc dỡ = 1,5 tấn x 0,04ca/tấn x 1.377.101đ/ca x 2lần  =</t>
  </si>
  <si>
    <t>TRẠM BIẾN ÁP</t>
  </si>
  <si>
    <t xml:space="preserve">    (12T x 140km x 1398đ/T.km x 1,3 x 1,2 x 2ch)/1,1 =          </t>
  </si>
  <si>
    <t>Cẩu vận chuyển đến công trình bốc dỡ trụ (cự ly 15km )</t>
  </si>
  <si>
    <t>Vận chuyển vật tư từ Phan rang đến công trình và thu hồi từ công trình đến kho Điện lực (10km)</t>
  </si>
  <si>
    <t>Xe chở DCTC kết hợp chở công nhân đi thi công (cự ly 15km)</t>
  </si>
  <si>
    <t>5% x  (Gvttb+Gsc+Gk)</t>
  </si>
  <si>
    <t xml:space="preserve">Đà sắt L75x75x8-2400 - 3 ốp m.nhúng (24,078kg) </t>
  </si>
  <si>
    <t>Lắp xà thép trụ đỡ, ≤ 50kg/xà (30,169kg)</t>
  </si>
  <si>
    <t>Đà sắt L75x75x8-2000 - 2 ốp m.nhúng (19,619kg)</t>
  </si>
  <si>
    <t>Lắp xà thép trụ néo, ≤ 50kg/xà (49,638kg)</t>
  </si>
  <si>
    <t xml:space="preserve">               (2T x 400 km x 1398 đ/T.km x 1,3 x1,2 x 0,9 x 1ch)/1,1 =</t>
  </si>
  <si>
    <t xml:space="preserve">Vận chuyển trụ, lốc bê tông Nha Trang đến công trình (35 trụ 12m , đường cấp 2)                          </t>
  </si>
  <si>
    <t>Dây ACX.185mm²</t>
  </si>
  <si>
    <t xml:space="preserve">DS 1 pha 24kV-630A -polymer  </t>
  </si>
  <si>
    <t xml:space="preserve">LTD 1 pha 24kV-630A -polymer  </t>
  </si>
  <si>
    <t xml:space="preserve">Ống nhựa HDPE Ø160/125 trơn nhẵn bề mặt (dây pha)- Phần lên trụ </t>
  </si>
  <si>
    <t>Nút cao su chống thấm 160/125</t>
  </si>
  <si>
    <t>Nút cao su chống thấm 130/100</t>
  </si>
  <si>
    <t>Ống nối chữ H phù hợp tiết diện ống HDPE trơn nhẵn phi 114/100 dày 3,18mm và ống nhựa xoắn HDPE phi 160/125</t>
  </si>
  <si>
    <t xml:space="preserve">Ống nhựa HDPE Ø130/100 trơn nhẵn bề mặt (dây trung tính) - Phần lên trụ </t>
  </si>
  <si>
    <t>Ống nối chữ H phù hợp tiết diện ống HDPE trơn nhẵn phi 105/80 dày 2,9mm và ống nhựa xoắn HDPE phi 130/100</t>
  </si>
  <si>
    <t>Nối giảm ống PVC 114/90</t>
  </si>
  <si>
    <t>Nối giảm ống PVC 90/76</t>
  </si>
  <si>
    <t>Đầu cáp ngầm 1 pha 24kV -1x240 mm2 ngoài trời (hãng 3M, co rút nguội)</t>
  </si>
  <si>
    <t>Đầu cáp ngầm 1 pha 24kV -1x185 mm2 ngoài trời (hãng 3M, co rút nguội)</t>
  </si>
  <si>
    <t>Đầu cáp ngầm 1 pha 24kV -1x95 mm2 ngoài trời (hãng 3M, co rút nguội)</t>
  </si>
  <si>
    <t>Đầu cáp ngầm 1 pha 24kV -1x70 mm2 ngoài trời (hãng 3M, co rút nguội)</t>
  </si>
  <si>
    <t>Băng keo cách điện trung thế ARLON bọc kín mối nối</t>
  </si>
  <si>
    <t>Băng keo cách điện trung thế Scot 2228 bọc kín mối nối</t>
  </si>
  <si>
    <t>LA 18kV-10kA polymer (dòng rò ≥31mm/kV), kèm phụ kiện</t>
  </si>
  <si>
    <t xml:space="preserve">Cose ép đầu bít Cu-70 mm2 </t>
  </si>
  <si>
    <t xml:space="preserve">Ống STK  Ø160/125 trơn nhẵn bề mặt (dây pha)- Phần lên trụ </t>
  </si>
  <si>
    <t xml:space="preserve">Ống STK Ø130/100 trơn nhẵn bề mặt (dây trung tính) - Phần lên trụ </t>
  </si>
  <si>
    <t xml:space="preserve">LA 18kV-10kA polymer </t>
  </si>
  <si>
    <t>Dây CXH.185mm2</t>
  </si>
  <si>
    <t>Cose ép đầu bít Cu-150 mm2</t>
  </si>
  <si>
    <t>475DL/96/04</t>
  </si>
  <si>
    <t>473NH/01</t>
  </si>
  <si>
    <t>475DL/96/05</t>
  </si>
  <si>
    <t>475DL/105</t>
  </si>
  <si>
    <t>475DL/106</t>
  </si>
  <si>
    <t>475DL/175</t>
  </si>
  <si>
    <t>475DL/176</t>
  </si>
  <si>
    <t>475DL/232/15</t>
  </si>
  <si>
    <t>475DL/232/16</t>
  </si>
  <si>
    <t>475DL/309</t>
  </si>
  <si>
    <t>475DL/309/01</t>
  </si>
  <si>
    <t>475DL/309/03</t>
  </si>
  <si>
    <t>475DL/309/04</t>
  </si>
  <si>
    <t>475DL/251/26</t>
  </si>
  <si>
    <t>475DL/251/27</t>
  </si>
  <si>
    <t>475DL/251/23/06</t>
  </si>
  <si>
    <t>475DL/251/23/07</t>
  </si>
  <si>
    <t>475DL/87/60</t>
  </si>
  <si>
    <t>475DL/87/61</t>
  </si>
  <si>
    <t>475DL/113</t>
  </si>
  <si>
    <t>475DL/251/01</t>
  </si>
  <si>
    <t>475DL/52</t>
  </si>
  <si>
    <t>475DL/254</t>
  </si>
  <si>
    <t>475DL/289</t>
  </si>
  <si>
    <t>475DL/126</t>
  </si>
  <si>
    <t>475DL/127</t>
  </si>
  <si>
    <t>475DL/128</t>
  </si>
  <si>
    <t>475DL/129</t>
  </si>
  <si>
    <t>475DL/130</t>
  </si>
  <si>
    <t>475DL/131</t>
  </si>
  <si>
    <t>475DL/132</t>
  </si>
  <si>
    <t>475DL/133</t>
  </si>
  <si>
    <t>475DL/134</t>
  </si>
  <si>
    <t>475DL/135</t>
  </si>
  <si>
    <t>475DL/136</t>
  </si>
  <si>
    <t>475DL/137</t>
  </si>
  <si>
    <t>475DL/145</t>
  </si>
  <si>
    <t>475DL/146</t>
  </si>
  <si>
    <t>475DL/154</t>
  </si>
  <si>
    <t>475DL/173</t>
  </si>
  <si>
    <t>475DL/179</t>
  </si>
  <si>
    <t>Bộ đà kép đỡ 2m (3 ốp) lắp trụ đơn</t>
  </si>
  <si>
    <t>Bộ đà kép đỡ 2m (3 ốp)</t>
  </si>
  <si>
    <t>Bộ Uclevis + sứ ống</t>
  </si>
  <si>
    <t>Bộ cách điện đứng 24kV  Pinpost</t>
  </si>
  <si>
    <t xml:space="preserve">Bộ đà đỡ đơn 2m (3ốp) </t>
  </si>
  <si>
    <t>473NH39/46</t>
  </si>
  <si>
    <t>473NH39/47</t>
  </si>
  <si>
    <t>473NH39/48</t>
  </si>
  <si>
    <t>473NH39/49</t>
  </si>
  <si>
    <t>473NH39/50</t>
  </si>
  <si>
    <t>473NH39/51</t>
  </si>
  <si>
    <t>473NH39/52</t>
  </si>
  <si>
    <t>473NH39/53</t>
  </si>
  <si>
    <t>473NH39/54</t>
  </si>
  <si>
    <t>473NH39/55</t>
  </si>
  <si>
    <t>473NH39/56</t>
  </si>
  <si>
    <t>473NH39/57</t>
  </si>
  <si>
    <t>473NH39/58</t>
  </si>
  <si>
    <t>473NH39/59</t>
  </si>
  <si>
    <t>473NH39/60</t>
  </si>
  <si>
    <t>473NH39/61</t>
  </si>
  <si>
    <t>473NH39/62</t>
  </si>
  <si>
    <t>473NH39/63</t>
  </si>
  <si>
    <t>473NH39/64</t>
  </si>
  <si>
    <t>473NH39/65</t>
  </si>
  <si>
    <t>473NH39/66</t>
  </si>
  <si>
    <t>473NH39/67</t>
  </si>
  <si>
    <t>473NH39/68</t>
  </si>
  <si>
    <t>473NH39/69</t>
  </si>
  <si>
    <t>Bộ cách điện đứng 24kV  Polymer</t>
  </si>
  <si>
    <t>Bộ cách điện treo 24kV  Polymer</t>
  </si>
  <si>
    <t>Khóa néo 5U</t>
  </si>
  <si>
    <t>475DL/268</t>
  </si>
  <si>
    <t>475DL/270</t>
  </si>
  <si>
    <t>475DL/273</t>
  </si>
  <si>
    <t>475DL/274</t>
  </si>
  <si>
    <t>475DL/275</t>
  </si>
  <si>
    <t>475DL/276</t>
  </si>
  <si>
    <t>475DL/277</t>
  </si>
  <si>
    <t>478NH/23/02</t>
  </si>
  <si>
    <t>478NH/23/04</t>
  </si>
  <si>
    <t>478NH/23/05</t>
  </si>
  <si>
    <t>478NH/23/07</t>
  </si>
  <si>
    <t>478NH/23/08</t>
  </si>
  <si>
    <t>478NH/23/09</t>
  </si>
  <si>
    <t>478NH/23/10</t>
  </si>
  <si>
    <t>478NH/23/11</t>
  </si>
  <si>
    <t>478NH/23/12</t>
  </si>
  <si>
    <t>Giáp níu dây 70mm2</t>
  </si>
  <si>
    <t>Móng trụ M14-bt</t>
  </si>
  <si>
    <t>475DL/232/01</t>
  </si>
  <si>
    <t>475DL/232/02</t>
  </si>
  <si>
    <t>475DL/232</t>
  </si>
  <si>
    <t xml:space="preserve">475DL/245 </t>
  </si>
  <si>
    <t>475DL/246</t>
  </si>
  <si>
    <t>Giáp níu dây 185mm2</t>
  </si>
  <si>
    <t>Dây ACX.70mm²</t>
  </si>
  <si>
    <t>Dây VC.30/10 buộc cổ sứ</t>
  </si>
  <si>
    <t>471DL/67/24</t>
  </si>
  <si>
    <t>471DL/67/25</t>
  </si>
  <si>
    <t>471DL/67/25/01</t>
  </si>
  <si>
    <t>471DL/67/25/02</t>
  </si>
  <si>
    <t>471DL/67/25/03</t>
  </si>
  <si>
    <t>471DL/67/25/04</t>
  </si>
  <si>
    <t>471DL/67/25/05</t>
  </si>
  <si>
    <t>471DL/67/25/06</t>
  </si>
  <si>
    <t>471DL/67/25/07</t>
  </si>
  <si>
    <t>471DL/67/25/08</t>
  </si>
  <si>
    <t>471DL/67/27</t>
  </si>
  <si>
    <t>471DL/67/29</t>
  </si>
  <si>
    <t>471DL/67/40</t>
  </si>
  <si>
    <t>471DL/67/41</t>
  </si>
  <si>
    <t>471DL/67/43</t>
  </si>
  <si>
    <t>471DL/67/44</t>
  </si>
  <si>
    <t>471DL/67/45</t>
  </si>
  <si>
    <t>475DL/190</t>
  </si>
  <si>
    <t>475DL/195</t>
  </si>
  <si>
    <t>475DL/205</t>
  </si>
  <si>
    <t>475DL/209</t>
  </si>
  <si>
    <t>475DL/213</t>
  </si>
  <si>
    <t>475DL/220</t>
  </si>
  <si>
    <t>475DL/224</t>
  </si>
  <si>
    <t>475DL/231</t>
  </si>
  <si>
    <t>475DL/239</t>
  </si>
  <si>
    <t>475DL/244</t>
  </si>
  <si>
    <t>475DL/251</t>
  </si>
  <si>
    <t>475DL/255</t>
  </si>
  <si>
    <t>475DL/265</t>
  </si>
  <si>
    <t>475DL/281</t>
  </si>
  <si>
    <t>475DL/288</t>
  </si>
  <si>
    <t>475DL/296</t>
  </si>
  <si>
    <t>475DL/304</t>
  </si>
  <si>
    <t>475DL/312</t>
  </si>
  <si>
    <t>475DL/318</t>
  </si>
  <si>
    <t>475DL/324</t>
  </si>
  <si>
    <t>475DL/329</t>
  </si>
  <si>
    <t>476NH/35</t>
  </si>
  <si>
    <t>476NH/39</t>
  </si>
  <si>
    <t>476NH/43</t>
  </si>
  <si>
    <t>476NH/49</t>
  </si>
  <si>
    <t>476NH/51</t>
  </si>
  <si>
    <t>476NH/55</t>
  </si>
  <si>
    <t>476NH/63</t>
  </si>
  <si>
    <t>476NH/74</t>
  </si>
  <si>
    <t>476NH/86</t>
  </si>
  <si>
    <t>476NH/93</t>
  </si>
  <si>
    <t>476NH/98</t>
  </si>
  <si>
    <t>476NH/105</t>
  </si>
  <si>
    <t>476NH/115</t>
  </si>
  <si>
    <t>Trụ đơn BTLT 8,5m</t>
  </si>
  <si>
    <t>Kẹp đỡ cáp ABC 4x120mm2</t>
  </si>
  <si>
    <t>Móng trụ M8,5-bt</t>
  </si>
  <si>
    <t>Ống ép nhôm 95</t>
  </si>
  <si>
    <t>Tiếp địa lặp lại trụ 8.5m</t>
  </si>
  <si>
    <t xml:space="preserve">Kẹp CU/AL 1 bulon </t>
  </si>
  <si>
    <t>Kẹp IPC 35-95 mm2 (1 bulon)</t>
  </si>
  <si>
    <t>Kẹp IPC 120-120 mm2 (2 bulon)</t>
  </si>
  <si>
    <t>Nhôm AC 95-120mm2 (3 bulon)</t>
  </si>
  <si>
    <t>MNhon.A01.B08</t>
  </si>
  <si>
    <t>MNhon.A03</t>
  </si>
  <si>
    <t>MNhon.A05</t>
  </si>
  <si>
    <t>MNhon.A06</t>
  </si>
  <si>
    <t>MNhon.B01.A02</t>
  </si>
  <si>
    <t>MNhon.B01.B01</t>
  </si>
  <si>
    <t>MNhon.B01.B02</t>
  </si>
  <si>
    <t>MNhon.B02.A03</t>
  </si>
  <si>
    <t>MNhon B02.A04</t>
  </si>
  <si>
    <t>MNhon.B03</t>
  </si>
  <si>
    <t>MNhon.B04</t>
  </si>
  <si>
    <t>MNhon.B04.A01</t>
  </si>
  <si>
    <t>MNhon.B04.A02</t>
  </si>
  <si>
    <t>MNhon.B05</t>
  </si>
  <si>
    <t>MNhon.B06</t>
  </si>
  <si>
    <t>MNhon.B07</t>
  </si>
  <si>
    <t>MNhon.B08</t>
  </si>
  <si>
    <t>MNhon.B09</t>
  </si>
  <si>
    <t>MNhon.B10</t>
  </si>
  <si>
    <t>MNhon.B11</t>
  </si>
  <si>
    <t>MNhon.B12</t>
  </si>
  <si>
    <t>MNhon.B12.A01</t>
  </si>
  <si>
    <t>MNhon.B12.A01.A01</t>
  </si>
  <si>
    <t>MNhon.B13</t>
  </si>
  <si>
    <t>MNhon.B14</t>
  </si>
  <si>
    <t>MNhon 2.A05</t>
  </si>
  <si>
    <t>MNhon 2.A06</t>
  </si>
  <si>
    <t>MNhon 2.A07</t>
  </si>
  <si>
    <t>MNhon 2.A07.A01</t>
  </si>
  <si>
    <t>MNhon 2.B01</t>
  </si>
  <si>
    <t>MNhon 2.B02.A01</t>
  </si>
  <si>
    <t>MNhon 2.B02.A02</t>
  </si>
  <si>
    <t>MNhon 2.B02.A03</t>
  </si>
  <si>
    <t>MNhon 2.B02.A04</t>
  </si>
  <si>
    <t>MNhon 2.B02.A05</t>
  </si>
  <si>
    <t>MNhon 2.B02.A06</t>
  </si>
  <si>
    <t>MNhon 2.B02.A07</t>
  </si>
  <si>
    <t>MNhon 2.B02.A08</t>
  </si>
  <si>
    <t>MNhon 2.B02.A09</t>
  </si>
  <si>
    <t>MNhon 2.B02.A10</t>
  </si>
  <si>
    <t>MNhon 2.B02.A10.A01</t>
  </si>
  <si>
    <t>MNhon 2.B02.A10.A02</t>
  </si>
  <si>
    <t>MNhon 2.B02.A11</t>
  </si>
  <si>
    <t>MNhon 2.B02.B01</t>
  </si>
  <si>
    <t>MNhon 2.B02.B02</t>
  </si>
  <si>
    <t>MNhon 2.B02.B03</t>
  </si>
  <si>
    <t>MNhon 2.B03</t>
  </si>
  <si>
    <t>MNhon 2.B04</t>
  </si>
  <si>
    <t>471DL.67.33</t>
  </si>
  <si>
    <t>A Đat 9.A03</t>
  </si>
  <si>
    <t>A Đat 9.A03.A06</t>
  </si>
  <si>
    <t>A Đat 9.A03.B02.A01</t>
  </si>
  <si>
    <t>A Đat 9.A03.B05</t>
  </si>
  <si>
    <t>A Đat 9.B02.A05</t>
  </si>
  <si>
    <t>A Đat 9.B07</t>
  </si>
  <si>
    <t>A Đat 9.B11</t>
  </si>
  <si>
    <t>Kẹp IPC 35-95  (1 bulon)</t>
  </si>
  <si>
    <t>Kẹp IPC 120-120 (2 bulon)</t>
  </si>
  <si>
    <t>SGiếng 2/B08</t>
  </si>
  <si>
    <t>SGiếng 2/B06</t>
  </si>
  <si>
    <t>SGiếng 2/ B07</t>
  </si>
  <si>
    <t>SGiếng 2/B05</t>
  </si>
  <si>
    <t>SGiếng 2/B04</t>
  </si>
  <si>
    <t>SGiếng 2/B01/A01</t>
  </si>
  <si>
    <t>SGiếng 2/B01</t>
  </si>
  <si>
    <t>SGiếng 2/B01/A02</t>
  </si>
  <si>
    <t>Dựng trụ 14m thủ công + cơ giới (ĐGSC203)</t>
  </si>
  <si>
    <t>Trụ BTLT 8,5m trụ đơn (3,0kN); (TC+CG)</t>
  </si>
  <si>
    <t>Sơn + kẻ biển số trụ</t>
  </si>
  <si>
    <t>Dựng trụ 8,5m thủ công + cơ giới (ĐGSC203)</t>
  </si>
  <si>
    <t>Trụ BTLT 8,5m (lực đầu trụ 3,0KN)</t>
  </si>
  <si>
    <t>Bộ đà đỡ đơn 2m (3 ốp) lắp trụ đơn</t>
  </si>
  <si>
    <t xml:space="preserve">Đà sắt L75x75x8-2000 - 3 ốp m.nhúng (20,51kg) </t>
  </si>
  <si>
    <t xml:space="preserve">Thanh chống PL 60x6 - 1150 (3,25kg) </t>
  </si>
  <si>
    <t>Bộ đà đỡ kép 2m (3 ốp) lắp trụ đơn</t>
  </si>
  <si>
    <t>Lắp xà thép trụ đỡ, ≤ 50kg/xà (23,76kg)</t>
  </si>
  <si>
    <t>Lắp xà thép trụ đỡ, ≤ 50kg/xà (47,52kg)</t>
  </si>
  <si>
    <t>Dây CX.185mm2</t>
  </si>
  <si>
    <t>05.02.101</t>
  </si>
  <si>
    <t>Rải căng dây ACX.70mm2</t>
  </si>
  <si>
    <t>Dây</t>
  </si>
  <si>
    <t>Mắc nối yếm cáp</t>
  </si>
  <si>
    <t>Giáp níu dây cáp nhôm bọc lõi thép trung áp 185mm2</t>
  </si>
  <si>
    <t>Yếm móng U giáp níu (dùng cho giáp níu 185mm2)</t>
  </si>
  <si>
    <t>Giáp níu dây cáp nhôm bọc lõi thép trung áp 70mm2</t>
  </si>
  <si>
    <t>Yếm móng U giáp níu (dùng cho giáp níu 70mm2)</t>
  </si>
  <si>
    <t>Kẹp WR 909 (150-240)</t>
  </si>
  <si>
    <t>Khóa néo 3U Lem nhỏ (50-70MM2)</t>
  </si>
  <si>
    <t>Khóa néo 5U Lem lớn (150-240MM2)</t>
  </si>
  <si>
    <t>09.01.304</t>
  </si>
  <si>
    <t>Dao cách ly (LTD) 1 pha 24kV - 800A - kèm phụ kiện lắp đặt cách điện polymer (dòng rò 31mm/kV)</t>
  </si>
  <si>
    <t>10.01.114</t>
  </si>
  <si>
    <t>Cose ép đầu bít Cu-185 mm2</t>
  </si>
  <si>
    <t>Bộ tiếp địa lặp lại trụ 12 cáp thép</t>
  </si>
  <si>
    <t>Ống bảo vệ cáp ngầm 3 pha</t>
  </si>
  <si>
    <t>Cáp ngầm</t>
  </si>
  <si>
    <t>Đầu cáp ngầm 1 pha 24kV -1x240 mm2 ngoài trời (co rút nguội)</t>
  </si>
  <si>
    <t>Đầu cáp ngầm 1 pha 24kV -1x185 mm2 ngoài trời  (co rút nguội)</t>
  </si>
  <si>
    <t>Đầu cáp ngầm 1 pha 24kV -1x95 mm2 ngoài trời (co rút nguội)</t>
  </si>
  <si>
    <t>Đầu cáp ngầm 1 pha 24kV -1x70 mm2 ngoài trời (co rút nguội)</t>
  </si>
  <si>
    <t xml:space="preserve">Cose ép đầu bít Cu-185 mm2 </t>
  </si>
  <si>
    <t xml:space="preserve">Cose ép đầu bít Cu-150 mm2 </t>
  </si>
  <si>
    <t>Dây buộc cổ sứ VC.30/10 (dây đồng bọc cứng 1 lõi): 2,25m/sợi</t>
  </si>
  <si>
    <t>Làm và lắp đặt đầu cáp ngầm 1 pha 1x240 mm²</t>
  </si>
  <si>
    <t>06.03.105</t>
  </si>
  <si>
    <t>đầu</t>
  </si>
  <si>
    <t>06.03.104</t>
  </si>
  <si>
    <t>06.03.103</t>
  </si>
  <si>
    <t>06.03.102</t>
  </si>
  <si>
    <t>Thay ống nhựa bảo vệ cáp, đường kính ống &gt;90mm</t>
  </si>
  <si>
    <t>Bộ cách điện treo 24kV polymer (sử dụng lại)</t>
  </si>
  <si>
    <t>Chuổi sứ treo 24kV  polymer</t>
  </si>
  <si>
    <t xml:space="preserve">Lắp cách điện treo 24kV  polymer </t>
  </si>
  <si>
    <t>Bộ cách điện đứng 24kV  polymer (Sử dụng lại)</t>
  </si>
  <si>
    <t xml:space="preserve">Lắp cách điện đứng 24kV  </t>
  </si>
  <si>
    <t>Thu hồi dây ACX.70mm2</t>
  </si>
  <si>
    <t>Nhổ trụ 14m thủ công + cơ giới</t>
  </si>
  <si>
    <t xml:space="preserve">Bộ đà néo kép 2m4 (3ốp) </t>
  </si>
  <si>
    <t>Tháo cách điện treo 24kV  Polymer</t>
  </si>
  <si>
    <t>Tháo cách điện đứng 24kV  Polymer</t>
  </si>
  <si>
    <t>SGiếng 2/ B03</t>
  </si>
  <si>
    <t>Bulon mắc 16x200 mạ nhúng</t>
  </si>
  <si>
    <t>Long đền vuông Ø18 MK nhúng nóng</t>
  </si>
  <si>
    <t>Kẹp ngừng cáp ABC 4x120mm2</t>
  </si>
  <si>
    <t>Bulon móc 16x200 mạ nhúng</t>
  </si>
  <si>
    <t>Kẹp ngừng cáp ABC 4x120mm2 (trụ hạ thế đơn)</t>
  </si>
  <si>
    <t>ống</t>
  </si>
  <si>
    <t>12</t>
  </si>
  <si>
    <t>6</t>
  </si>
  <si>
    <t>8</t>
  </si>
  <si>
    <t>10</t>
  </si>
  <si>
    <t>13</t>
  </si>
  <si>
    <t>14</t>
  </si>
  <si>
    <t>15</t>
  </si>
  <si>
    <t>16</t>
  </si>
  <si>
    <t>18</t>
  </si>
  <si>
    <t>20</t>
  </si>
  <si>
    <t>Kẹp nhôm AC 50-70mm2 (2 bulon)</t>
  </si>
  <si>
    <t xml:space="preserve">Số trụ </t>
  </si>
  <si>
    <t>Dây đồng trần C-25 (4m)</t>
  </si>
  <si>
    <t>Bộ tiếp đất lặp lại (trụ 8,5m) cáp thép</t>
  </si>
  <si>
    <t>Kẹp IPC 35-95mm2</t>
  </si>
  <si>
    <t>CÔNG TRÌNH: SỬA CHỮA LƯỚI ĐIỆN THA</t>
  </si>
  <si>
    <t xml:space="preserve"> KHU VỰC ĐỘI QLĐ THUẬN BẮC (ĐỢT 2 NĂM 2026)</t>
  </si>
  <si>
    <t>Thuận Bắc, ngày      tháng     năm 2026</t>
  </si>
  <si>
    <t>Năm 2026</t>
  </si>
  <si>
    <t>CÔNG TRÌNH: SỬA CHỮA LƯỚI ĐIỆN THA KHU VỰC ĐỘI QLĐ THUẬN BẮC (ĐỢT 2 NĂM 2026)</t>
  </si>
  <si>
    <t>PHỤ LỤC 2: ĐƠN GIÁ NHÂN CÔNG 486</t>
  </si>
  <si>
    <t>Công nhân 4,0 /7</t>
  </si>
  <si>
    <t>QĐ 486</t>
  </si>
  <si>
    <t>Vùng 2</t>
  </si>
  <si>
    <t>Cấp bậc nhân công</t>
  </si>
  <si>
    <t>Cấp bậc bình quân</t>
  </si>
  <si>
    <t>Đơn giá nhân công (đồng/ngày)</t>
  </si>
  <si>
    <t>CN1.I</t>
  </si>
  <si>
    <t>Công nhân 1,0 /7</t>
  </si>
  <si>
    <t>CN1,5.I</t>
  </si>
  <si>
    <t>Công nhân 1,5 /7</t>
  </si>
  <si>
    <t>CN2.I</t>
  </si>
  <si>
    <t>Công nhân 2,0 /7</t>
  </si>
  <si>
    <t>CN4.I</t>
  </si>
  <si>
    <t>CN4.5.I</t>
  </si>
  <si>
    <t>Công nhân 4,5 /7</t>
  </si>
  <si>
    <t>Công nhân 5,0 /7</t>
  </si>
  <si>
    <t>CN6.5.I</t>
  </si>
  <si>
    <t>Công nhân 6,5 /7</t>
  </si>
  <si>
    <t>CN7.I</t>
  </si>
  <si>
    <t>Công nhân 7,0 /7</t>
  </si>
  <si>
    <t>3,5 nhóm 2</t>
  </si>
  <si>
    <t>Hình thức trụ</t>
  </si>
  <si>
    <t>IL2/3 - 2m</t>
  </si>
  <si>
    <t>IKL2/3 - 2m</t>
  </si>
  <si>
    <t>N - 2,4m</t>
  </si>
  <si>
    <t>N90 - 2,4m</t>
  </si>
  <si>
    <t>Bộ đà composite 2,4m</t>
  </si>
  <si>
    <t>IC - 2,4m</t>
  </si>
  <si>
    <t>Ống ép nối dây nhôm 70mm2</t>
  </si>
  <si>
    <t>Ống ép nối dây nhôm 185mm2</t>
  </si>
  <si>
    <t>N - 2m</t>
  </si>
  <si>
    <t>NP - 2,4m</t>
  </si>
  <si>
    <t>IK - 2,4m</t>
  </si>
  <si>
    <t>BẢNG TỔNG HỢP CHI PHÍ VẬT LIỆU, THIẾT BỊ, NHÂN CÔNG, MÁY THI CÔNG</t>
  </si>
  <si>
    <t>HẠNG MỤC: KIỂM ĐỊNH</t>
  </si>
  <si>
    <t>Khối
Lượng</t>
  </si>
  <si>
    <t>Đơn giá (đ)</t>
  </si>
  <si>
    <t>Thành tiền (đ)</t>
  </si>
  <si>
    <t>VL trong định mức</t>
  </si>
  <si>
    <t>VL thuộc đối tượng lắp đặt</t>
  </si>
  <si>
    <t xml:space="preserve"> KIỂM ĐỊNH KHÍ CỤ ĐIỆN, TRANG BỊ ĐIỆN</t>
  </si>
  <si>
    <t>EB.11010</t>
  </si>
  <si>
    <t>Kiểm định Recloser/LBS</t>
  </si>
  <si>
    <t>Điện năng</t>
  </si>
  <si>
    <t>kWh</t>
  </si>
  <si>
    <t>Cồn công nghiệp</t>
  </si>
  <si>
    <t>Vải phin trắng 0,8m</t>
  </si>
  <si>
    <t>Giẻ lau</t>
  </si>
  <si>
    <t>Giấy nhám số 0</t>
  </si>
  <si>
    <t>tờ</t>
  </si>
  <si>
    <t>Dây Cu/XLPE/PVC 4x50mm2</t>
  </si>
  <si>
    <t>Kỹ sư 4/8</t>
  </si>
  <si>
    <t>công</t>
  </si>
  <si>
    <t>Công nhân 5/7</t>
  </si>
  <si>
    <t>Máy thi công</t>
  </si>
  <si>
    <t>Mê gôm mét</t>
  </si>
  <si>
    <t>Hợp bộ thí nghiệm cao áp xoay chiều (cho cấp điện áp đến 35kV)</t>
  </si>
  <si>
    <t>Thiết bị kiểm tra áp lực</t>
  </si>
  <si>
    <t>Máy chụp sóng</t>
  </si>
  <si>
    <t>Máy đo điện trở tiếp xúc</t>
  </si>
  <si>
    <t>Máy đo điện trở một chiều</t>
  </si>
  <si>
    <t>Xe thang nâng người dạng khớp gập, chiều cao nâng 12 mét, tải trọng nâng &lt; 300kg</t>
  </si>
  <si>
    <t>Xe thang nâng người dạng khớp gập, chiều cao nâng 18 mét, tải trọng nâng &lt; 300kg</t>
  </si>
  <si>
    <t>EC.12030</t>
  </si>
  <si>
    <t>Kiểm định chống sét van (Bộ 1)</t>
  </si>
  <si>
    <t>Bộ 1 pha</t>
  </si>
  <si>
    <t>Dây điện Cu/PVC/PVC 2x4mm2</t>
  </si>
  <si>
    <t>Kỹ sư 3/8</t>
  </si>
  <si>
    <t>Công nhân 4/7</t>
  </si>
  <si>
    <t>Hợp bộ thí nghiệm cao áp xoay chiều (cho cấp điện áp đến 15kV)</t>
  </si>
  <si>
    <t>Kiểm định chống sét van (Bộ 02 trở đi)</t>
  </si>
  <si>
    <t>EB.22010</t>
  </si>
  <si>
    <t>Kiểm định dao cách ly</t>
  </si>
  <si>
    <t>Dây cáp điện 3 pha Cu/XLPE/PVC - 4x50mm2</t>
  </si>
  <si>
    <t>Giáp nhám số 0</t>
  </si>
  <si>
    <t>Kiểm định FCO/LBFCO</t>
  </si>
  <si>
    <t>EA.22110</t>
  </si>
  <si>
    <t>Thí nghiệm máy biến áp lực - U 22 ÷ 35 kV; MBA 3 pha CS&lt;= 1MVA</t>
  </si>
  <si>
    <t>Máy</t>
  </si>
  <si>
    <t>Vải phin trắng 0,8 m</t>
  </si>
  <si>
    <t>Ống gen cách điện</t>
  </si>
  <si>
    <t>Băng dính cách điện</t>
  </si>
  <si>
    <t>Dây điện Cu/PVC/PVC- 2x4,0 mm2</t>
  </si>
  <si>
    <t>Dây đồng trần 1 x 6 mm2</t>
  </si>
  <si>
    <t>Kỹ sư 4,0/8</t>
  </si>
  <si>
    <t>Công nhân 5,0/7</t>
  </si>
  <si>
    <t>Hợp bộ đo tgδ</t>
  </si>
  <si>
    <t>Máy đo tỷ số biến</t>
  </si>
  <si>
    <t>Hợp bộ đo lường</t>
  </si>
  <si>
    <t>Hợp bộ thí nghiệm cao áp xoay chiều (cho cấp điện áp đến 35 kV)</t>
  </si>
  <si>
    <t/>
  </si>
  <si>
    <t>BẢNG TỔNG HỢP CHI PHÍ VẬT LIỆU, NHÂN CÔNG, MÁY THI CÔNG</t>
  </si>
  <si>
    <t>HẠNG MỤC: PHẦN KIỂM ĐỊNH THIẾT BỊ</t>
  </si>
  <si>
    <t>TỔNG CỘNG</t>
  </si>
  <si>
    <t>HẠNG MỤC</t>
  </si>
  <si>
    <t>CÁCH TÍNH</t>
  </si>
  <si>
    <t>CHI PHÍ TRƯỚC THUẾ</t>
  </si>
  <si>
    <t>GHI CHÚ</t>
  </si>
  <si>
    <t>KĐATKT THIẾT BỊ</t>
  </si>
  <si>
    <t xml:space="preserve">Đội Quản lý Điện Thuận Bắc </t>
  </si>
  <si>
    <t>Bảng 2.1</t>
  </si>
  <si>
    <t>3. BẢNG TỔNG HỢP CHI PHÍ VẬT LIỆU - NHÂN CÔNG - MÁY THI CÔNG</t>
  </si>
  <si>
    <t xml:space="preserve"> BẢNG TỔNG HỢP VẬT TƯ, THIẾT BỊ THU HỒI</t>
  </si>
  <si>
    <t>Tổng giá trị sửa chữa: 3.000.000.000 đồng.</t>
  </si>
  <si>
    <t>- Chi phí khác:                                0 đồng.</t>
  </si>
  <si>
    <t>Trụ BTLT 12m trụ đơn (5,4kN); (TC+CG)</t>
  </si>
  <si>
    <t>Trụ BTLT 12m (lực đầu trụ 5,4KN)</t>
  </si>
  <si>
    <t>Trụ BTLT 14m trụ đơn (6,5kN); (TC+CG)</t>
  </si>
  <si>
    <t>Trụ BTLT 14m (lực đầu trụ 6,5KN)</t>
  </si>
  <si>
    <t xml:space="preserve"> ĐIỆN LỰC THUẬN BẮC </t>
  </si>
  <si>
    <t xml:space="preserve">ĐIỆN LỰC THUẬN BẮC </t>
  </si>
  <si>
    <t>KT. TRƯỞNG ĐIỆN LỰC</t>
  </si>
  <si>
    <t>PHÓ TRƯỞNG ĐIỆN LỰC</t>
  </si>
  <si>
    <t>Trụ BTLT 12m trụ đơn (5,4kN)</t>
  </si>
  <si>
    <t>Trụ BTLT 14m trụ đơn (6,5kN)</t>
  </si>
  <si>
    <t>Trụ BTLT 8,5m (3,0KN)</t>
  </si>
  <si>
    <t>km</t>
  </si>
  <si>
    <t>Rải căng dây ACX.185mm2</t>
  </si>
  <si>
    <t>05.08.203</t>
  </si>
  <si>
    <t>Làm và lắp đặt đầu cáp ngầm 1 pha 1x185 mm²</t>
  </si>
  <si>
    <t>Làm và lắp đặt đầu cáp ngầm 1 pha 1x70 mm²</t>
  </si>
  <si>
    <t>11.02.106</t>
  </si>
  <si>
    <t>Thu hồi dây ACX.185mm2</t>
  </si>
  <si>
    <t xml:space="preserve">Thay LA 18kV polymer </t>
  </si>
  <si>
    <t xml:space="preserve">Thay DS 1 pha 24kV - 630A </t>
  </si>
  <si>
    <t xml:space="preserve">Thay LTD 1 pha 24kV - 800A </t>
  </si>
  <si>
    <t>BẢNG TỔNG HỢP CHI PHÍ</t>
  </si>
  <si>
    <t>Hạng mục: Kiểm định an toàn kỹ thuật, thí nghiệm các thiết bị, dụng cụ lưới điện</t>
  </si>
  <si>
    <t xml:space="preserve">KHOẢN MỤC CHI PHÍ </t>
  </si>
  <si>
    <t>KÝ HIỆU</t>
  </si>
  <si>
    <t>GIÁ TRỊ</t>
  </si>
  <si>
    <t xml:space="preserve"> CHI PHÍ TRỰC TIẾP </t>
  </si>
  <si>
    <t>T</t>
  </si>
  <si>
    <t>VL+VLlđ+NC+M</t>
  </si>
  <si>
    <t xml:space="preserve"> Chi phí vật liệu</t>
  </si>
  <si>
    <r>
      <t>a</t>
    </r>
    <r>
      <rPr>
        <b/>
        <vertAlign val="subscript"/>
        <sz val="12"/>
        <rFont val="Times New Roman"/>
        <family val="1"/>
      </rPr>
      <t>1</t>
    </r>
    <r>
      <rPr>
        <b/>
        <sz val="12"/>
        <rFont val="Times New Roman"/>
        <family val="1"/>
      </rPr>
      <t xml:space="preserve"> + a</t>
    </r>
    <r>
      <rPr>
        <b/>
        <vertAlign val="subscript"/>
        <sz val="12"/>
        <rFont val="Times New Roman"/>
        <family val="1"/>
      </rPr>
      <t xml:space="preserve">2 </t>
    </r>
    <r>
      <rPr>
        <b/>
        <sz val="12"/>
        <rFont val="Times New Roman"/>
        <family val="1"/>
      </rPr>
      <t>+</t>
    </r>
    <r>
      <rPr>
        <b/>
        <vertAlign val="subscript"/>
        <sz val="12"/>
        <rFont val="Times New Roman"/>
        <family val="1"/>
      </rPr>
      <t xml:space="preserve"> </t>
    </r>
    <r>
      <rPr>
        <b/>
        <sz val="12"/>
        <rFont val="Times New Roman"/>
        <family val="1"/>
      </rPr>
      <t>a</t>
    </r>
    <r>
      <rPr>
        <b/>
        <vertAlign val="subscript"/>
        <sz val="12"/>
        <rFont val="Times New Roman"/>
        <family val="1"/>
      </rPr>
      <t>3</t>
    </r>
    <r>
      <rPr>
        <b/>
        <sz val="12"/>
        <rFont val="Times New Roman"/>
        <family val="1"/>
      </rPr>
      <t xml:space="preserve"> + a</t>
    </r>
    <r>
      <rPr>
        <b/>
        <vertAlign val="subscript"/>
        <sz val="12"/>
        <rFont val="Times New Roman"/>
        <family val="1"/>
      </rPr>
      <t>4</t>
    </r>
  </si>
  <si>
    <t>Chi phí vật liệu phụ</t>
  </si>
  <si>
    <r>
      <t>a</t>
    </r>
    <r>
      <rPr>
        <vertAlign val="subscript"/>
        <sz val="12"/>
        <rFont val="Times New Roman"/>
        <family val="1"/>
      </rPr>
      <t>1</t>
    </r>
  </si>
  <si>
    <t>Bảng chiết tính</t>
  </si>
  <si>
    <t>Chi phí vận chuyển đường dài</t>
  </si>
  <si>
    <r>
      <t>a</t>
    </r>
    <r>
      <rPr>
        <vertAlign val="subscript"/>
        <sz val="12"/>
        <rFont val="Times New Roman"/>
        <family val="1"/>
      </rPr>
      <t>2</t>
    </r>
  </si>
  <si>
    <t>Chi phí vận chuyển đường ngắn (trung chuyển)</t>
  </si>
  <si>
    <r>
      <t>a</t>
    </r>
    <r>
      <rPr>
        <vertAlign val="subscript"/>
        <sz val="12"/>
        <rFont val="Times New Roman"/>
        <family val="1"/>
      </rPr>
      <t>3</t>
    </r>
  </si>
  <si>
    <t>Chi phí vận chuyển, bốc dỡ vật tư lắp đặt (vận chuyển bộ)</t>
  </si>
  <si>
    <r>
      <t>a</t>
    </r>
    <r>
      <rPr>
        <vertAlign val="subscript"/>
        <sz val="12"/>
        <rFont val="Times New Roman"/>
        <family val="1"/>
      </rPr>
      <t>4</t>
    </r>
  </si>
  <si>
    <t>Chi phí vật liệu lắp đặt</t>
  </si>
  <si>
    <r>
      <t>VL</t>
    </r>
    <r>
      <rPr>
        <vertAlign val="subscript"/>
        <sz val="12"/>
        <color rgb="FF000000"/>
        <rFont val="Times New Roman"/>
        <family val="1"/>
      </rPr>
      <t>lđ</t>
    </r>
  </si>
  <si>
    <t xml:space="preserve"> Chi phí nhân công </t>
  </si>
  <si>
    <t xml:space="preserve"> Chi phí máy và thiết bị thi công</t>
  </si>
  <si>
    <t>CHI PHÍ GIÁN TIẾP</t>
  </si>
  <si>
    <t>GT</t>
  </si>
  <si>
    <t xml:space="preserve">Chi phí chung </t>
  </si>
  <si>
    <t>NCx65%</t>
  </si>
  <si>
    <t xml:space="preserve">THU NHẬP CHỊU THUẾ TÍNH TRƯỚC </t>
  </si>
  <si>
    <t>(T+GT)x6%</t>
  </si>
  <si>
    <t>CHI PHÍ KHẢO SÁT, LẬP PHƯƠNG ÁN THI CÔNG VÀ BÁO CÁO TỔNG HỢP</t>
  </si>
  <si>
    <t>K</t>
  </si>
  <si>
    <t>3,7% x (T + GT + TL)</t>
  </si>
  <si>
    <t>Máy mới, không khảo sát, tính bằng 0</t>
  </si>
  <si>
    <t>CHI PHÍ XÂY DỰNG TRƯỚC THUẾ</t>
  </si>
  <si>
    <t>T+GT+TL+K</t>
  </si>
  <si>
    <r>
      <t>G</t>
    </r>
    <r>
      <rPr>
        <vertAlign val="subscript"/>
        <sz val="11"/>
        <rFont val="Times New Roman"/>
        <family val="1"/>
      </rPr>
      <t>VT</t>
    </r>
    <r>
      <rPr>
        <vertAlign val="subscript"/>
        <sz val="11"/>
        <rFont val="Times New Roman"/>
        <family val="1"/>
        <charset val="163"/>
      </rPr>
      <t>TB</t>
    </r>
  </si>
  <si>
    <r>
      <t>G</t>
    </r>
    <r>
      <rPr>
        <b/>
        <vertAlign val="subscript"/>
        <sz val="11"/>
        <rFont val="Times New Roman"/>
        <family val="1"/>
      </rPr>
      <t>TB</t>
    </r>
  </si>
  <si>
    <r>
      <t>G</t>
    </r>
    <r>
      <rPr>
        <b/>
        <vertAlign val="subscript"/>
        <sz val="11"/>
        <rFont val="Times New Roman"/>
        <family val="1"/>
      </rPr>
      <t>VT</t>
    </r>
  </si>
  <si>
    <r>
      <t>G</t>
    </r>
    <r>
      <rPr>
        <b/>
        <vertAlign val="subscript"/>
        <sz val="11"/>
        <rFont val="Times New Roman"/>
        <family val="1"/>
        <charset val="163"/>
      </rPr>
      <t>SC</t>
    </r>
  </si>
  <si>
    <r>
      <t>G</t>
    </r>
    <r>
      <rPr>
        <b/>
        <vertAlign val="subscript"/>
        <sz val="11"/>
        <rFont val="Times New Roman"/>
        <family val="1"/>
      </rPr>
      <t>K</t>
    </r>
  </si>
  <si>
    <r>
      <t>G</t>
    </r>
    <r>
      <rPr>
        <b/>
        <vertAlign val="subscript"/>
        <sz val="11"/>
        <rFont val="Times New Roman"/>
        <family val="1"/>
        <charset val="163"/>
      </rPr>
      <t>DP</t>
    </r>
  </si>
  <si>
    <r>
      <t>G</t>
    </r>
    <r>
      <rPr>
        <vertAlign val="subscript"/>
        <sz val="11"/>
        <rFont val="Times New Roman"/>
        <family val="1"/>
        <charset val="163"/>
      </rPr>
      <t>TH</t>
    </r>
  </si>
  <si>
    <t xml:space="preserve">Chi phí nhân công </t>
  </si>
  <si>
    <t>Chi phí máy thi công</t>
  </si>
  <si>
    <t>Chi phí kiểm định VTTB</t>
  </si>
  <si>
    <t>KĐ</t>
  </si>
  <si>
    <t>Bảng 3. Tổng hợp</t>
  </si>
  <si>
    <t>Kiểm định chống sét van</t>
  </si>
  <si>
    <t>Lắp xà thép trụ néo, ≤ 15kg/xà (7,83kg), NCx0,8</t>
  </si>
  <si>
    <t>04.03.101</t>
  </si>
  <si>
    <t>EB.115010</t>
  </si>
  <si>
    <t>Kiểm định cáp ngầm trung áp</t>
  </si>
  <si>
    <t>1 đoạn</t>
  </si>
  <si>
    <t>đoạn</t>
  </si>
  <si>
    <t>Đoạn cáp ngầm trung áp</t>
  </si>
  <si>
    <t>Lắp xà thép trụ néo, ≤ 50kg/xà (48,156kg), NCx1,7</t>
  </si>
  <si>
    <t>Làm và lắp đặt đầu cáp ngầm 1 pha 1x95 mm²</t>
  </si>
  <si>
    <t>hạ</t>
  </si>
  <si>
    <t>Dây đồng trần 1x6,0 mm2</t>
  </si>
  <si>
    <t>Hợp bộ thí nghiệm điện áp xoay chiều tăng cao tần số thấp, tgδ, phóng điện</t>
  </si>
  <si>
    <t>Tên VTTB</t>
  </si>
  <si>
    <t>Đơn giá lập dự toán SCL</t>
  </si>
  <si>
    <t>Phần dây dẫn</t>
  </si>
  <si>
    <t>Cáp CV.6</t>
  </si>
  <si>
    <t>mét</t>
  </si>
  <si>
    <t>Lấy giá cao nhất sau khi so sánh giá dự toán và các báo giá gần nhất</t>
  </si>
  <si>
    <t>Cáp CV 50mm2</t>
  </si>
  <si>
    <t>Đối vơi dây ACSR, ACKP quy đổi giá tính theo kg sang giá tính theo mét theo tỷ trọng tương ứng</t>
  </si>
  <si>
    <t>Cáp CV.70</t>
  </si>
  <si>
    <t>Cáp CV 95mm2</t>
  </si>
  <si>
    <t>Cáp CV.120</t>
  </si>
  <si>
    <t>Cáp CV 240mm2</t>
  </si>
  <si>
    <t xml:space="preserve">Cáp CVV 3x16 + 1x10mm2-600V </t>
  </si>
  <si>
    <t>Cáp đồng 30/10</t>
  </si>
  <si>
    <t>Cáp đồng mềm 4x4</t>
  </si>
  <si>
    <t>Cáp đồng bọc trung áp CX.25 - 24kV</t>
  </si>
  <si>
    <t>Dây đồng bọc 24 kV [CX]-50mm2</t>
  </si>
  <si>
    <t>Cáp đồng bọc trung áp CXH.25 - 24kV</t>
  </si>
  <si>
    <t>Cáp đồng trần C25</t>
  </si>
  <si>
    <t>Cáp C70</t>
  </si>
  <si>
    <t>Cáp thép 3/8</t>
  </si>
  <si>
    <t>Cáp thép 5/8</t>
  </si>
  <si>
    <t>Dây nhôm bọc AV.70mm2</t>
  </si>
  <si>
    <t>Cáp ACX50mm2</t>
  </si>
  <si>
    <t>Cáp ACX70mm2</t>
  </si>
  <si>
    <t>Cáp ACX185mm2</t>
  </si>
  <si>
    <t>Dây ACX.240mm2</t>
  </si>
  <si>
    <t>Cáp AC50mm2</t>
  </si>
  <si>
    <t xml:space="preserve">Cáp AC.70 </t>
  </si>
  <si>
    <t>Cáp AC120mm2</t>
  </si>
  <si>
    <t>Dây nhôm trần lõi thép AC.150mm2</t>
  </si>
  <si>
    <t>Cáp nhôm trần lõi thép bọc mỡ ACKP-50/8 mm2</t>
  </si>
  <si>
    <t>Cáp nhôm trần lõi thép bọc mỡ ACKP-95/16 mm2</t>
  </si>
  <si>
    <t>Dây nhôm trần lõi thép AC.95mm2</t>
  </si>
  <si>
    <t>Dây nhôm trần lõi thép ACKP.150mm2</t>
  </si>
  <si>
    <t>Dây nhôm trần lõi thép ACKP.185mm2</t>
  </si>
  <si>
    <t>Phần trụ</t>
  </si>
  <si>
    <t>Trụ BTLT 7,5m (lực đầu trụ 3,0kN)</t>
  </si>
  <si>
    <t>Trụ BTLT 8,5m (loại trụ có lực đầu trụ 3,00 kN)</t>
  </si>
  <si>
    <t>Trụ BTLT-10m-190 (loại 3,5 kN; k=2)</t>
  </si>
  <si>
    <t>Trụ BTLT 10,5m loại 5,2kN</t>
  </si>
  <si>
    <t>Trụ BTLT 12m (loại lực đầu trụ 5,4kN) Có phụ gia chống nhiễm mặn</t>
  </si>
  <si>
    <t>Trụ  BTLT ứng lực trước 12m (lực đầu trụ 9,0kN) - đơn</t>
  </si>
  <si>
    <t>Trụ BTLT ứng lực trước 14m (lực đầu trụ 6,5kN)</t>
  </si>
  <si>
    <t>Phần thiết bị</t>
  </si>
  <si>
    <t>Dao cách ly (DS) 1pha 24kV - 630A cách điện polymer - dòng rò  31mm/Kv</t>
  </si>
  <si>
    <t>DS 1P 24kV-800A Loại Polymer</t>
  </si>
  <si>
    <t>Dao cách ly loại treo căng trên đường dây (LTD) 1pha 24kV - 800A cách điện polymer- dòng rò  31mm/kV</t>
  </si>
  <si>
    <t>LA 18kV-10kA</t>
  </si>
  <si>
    <t>FCO 27kV-100A polymer</t>
  </si>
  <si>
    <t>LBFCO 27kV-100A (loại polymer) (dòng rò &gt;= 31mm/kV)</t>
  </si>
  <si>
    <t>MCCB 3 pha 3 cực 125A (Icu ≥ 36kA)</t>
  </si>
  <si>
    <t>MCCB 3 pha 3 cực 250A (Icu ≥ 36kA)</t>
  </si>
  <si>
    <t>MCCB 3 pha 3 cực 400A (Icu ≥ 50kA)</t>
  </si>
  <si>
    <t>Thùng trạm composite 2 ngăn đứng (loại 1400x600x400) + code thùng + Bu lông code</t>
  </si>
  <si>
    <t>thùng</t>
  </si>
  <si>
    <t>Thùng trạm composite 2 ngăn nằm - 1050x1150x400</t>
  </si>
  <si>
    <t>Vỏ tủ cáp ngầm composite dày 4mm (Kích thước 760x500x350, gia công phụ kiện kèm theo)</t>
  </si>
  <si>
    <t>Cái</t>
  </si>
  <si>
    <t>Phần đà</t>
  </si>
  <si>
    <t>Đà composite 75x75x6-800mm (2,61kg)</t>
  </si>
  <si>
    <t>Đà composite 75x75x6 - 2000m</t>
  </si>
  <si>
    <t>Đà composite 75x75x6-2400mm (6,525kg)</t>
  </si>
  <si>
    <t>Đà</t>
  </si>
  <si>
    <t>Đà composite 75x75x6-2600mm - GIÀN (8,482kg)</t>
  </si>
  <si>
    <t>Đà sắt L75x75x8-1100mm (9,809 kg)</t>
  </si>
  <si>
    <t>Đà sắt L75x75x8-1450- m.nhúng</t>
  </si>
  <si>
    <t xml:space="preserve">Đà sắt L75x75x8-2000 - 2 ốp </t>
  </si>
  <si>
    <t>Đà sắt L75x75x8-2000 - 3 ốp - lệch 2/3</t>
  </si>
  <si>
    <t>Đà sắt L75x75x8-2000 - 3 ốp - LHT</t>
  </si>
  <si>
    <t>Đà sắt L75x75x8-2200 - 3 ốp m.nhúng  (22,294 kg)</t>
  </si>
  <si>
    <t xml:space="preserve">Đà sắt L75x75x8-2400 - 3 ốp </t>
  </si>
  <si>
    <t>Đà sắt L75x75x8-2400mm - 4 ốp (24,969kg)</t>
  </si>
  <si>
    <t>Đà sắt L75x75x8-450- m.nhúng</t>
  </si>
  <si>
    <t>Đà sắt PL60x6-920mm (2,6 kg)</t>
  </si>
  <si>
    <t>Đà sắt U100x46x4,5-1100mm (7,111 kg)</t>
  </si>
  <si>
    <t>Đà sắt U100x46x4,5-1130mm  (5,172 kg)</t>
  </si>
  <si>
    <t>Đà sắt U100x46x4,5-440mm (2,844 kg)</t>
  </si>
  <si>
    <t>Đà sắt U100x46x4,5-500mm (3,232 kg)</t>
  </si>
  <si>
    <t>Đà sắt U100x46x4,5-700mm (4,525 kg)</t>
  </si>
  <si>
    <t>Đà sắt U100x46x4,5-900mm (5,818 kg)</t>
  </si>
  <si>
    <t>Đà sắt U120x60x5-700- m.nhúng</t>
  </si>
  <si>
    <t>Đà sắt U160x68x5-1460mm (16,389 kg)</t>
  </si>
  <si>
    <t>Đà sắt U160x68x5-1700mm  (19,083 kg)</t>
  </si>
  <si>
    <t>Đà sắt U160x68x5-1907mm (21,407 kg)</t>
  </si>
  <si>
    <t>Đà sắt U160x68x5-700mm (7,858 kg)</t>
  </si>
  <si>
    <t>Đà sắt U200x80x5,2-2676mm (41,014 kg)</t>
  </si>
  <si>
    <t>Phần phụ kiện</t>
  </si>
  <si>
    <t>Bảng chỉ danh thiết bị (bằng tole + phủ decal trong suốt bên ngoài)</t>
  </si>
  <si>
    <t>tấm</t>
  </si>
  <si>
    <t>Bảng chỉ danh thiết bị trung áp</t>
  </si>
  <si>
    <t>Bảng chi danh trạm (Tole có phủ decal trong suốt bên ngoài)</t>
  </si>
  <si>
    <t>Bảng số trụ hạ áp (Decal)</t>
  </si>
  <si>
    <t>Băng keo cách điện hạ áp</t>
  </si>
  <si>
    <t>Băng keo cách điện trung thế 3M Scotch 70</t>
  </si>
  <si>
    <t>Băng keo cách điện trung thế Mastic Scotch 2228</t>
  </si>
  <si>
    <t>Băng keo cao su non</t>
  </si>
  <si>
    <t>Băng keo lưu hóa</t>
  </si>
  <si>
    <t>Băng keo PVC chịu nước</t>
  </si>
  <si>
    <t>Biển chỉ danh trung áp kèm cấm trèo (decal)</t>
  </si>
  <si>
    <t>Biển số trụ decal trung áp (bao gồm: số trụ, cảnh báo và tấm bảo vệ trong suốt)</t>
  </si>
  <si>
    <t>Bộ kẹp quai 2/0 (dây 50-70) (loại ty)</t>
  </si>
  <si>
    <t>Bộ kẹp quai 4/0 (dây 95-120) (loại ty)</t>
  </si>
  <si>
    <t xml:space="preserve">Bộ kẹp quai 477 (dây 150-240) (loại ty) </t>
  </si>
  <si>
    <t>Bộ nối đất LA, MBA - Cọc số 1 (2): 2 cọc/bộ</t>
  </si>
  <si>
    <t>Bộ nối đất vỏ thùng - Cọc số 3: 1 cọc/bộ</t>
  </si>
  <si>
    <t>Bộ Uclevis</t>
  </si>
  <si>
    <t>Bu lông 10x30, mạ nhúng</t>
  </si>
  <si>
    <t>Bu lông 16x100 MN</t>
  </si>
  <si>
    <t>Bu lông 16x120 MN</t>
  </si>
  <si>
    <t>Bu lông 16x250 MN</t>
  </si>
  <si>
    <t>Bu lông 16x300 - VRS mạ nhúng</t>
  </si>
  <si>
    <t>Bu lông 16x300 mạ nhúng</t>
  </si>
  <si>
    <t>Bu lông 16x350 MN</t>
  </si>
  <si>
    <t>Bu lông 16x40 mạ nhúng</t>
  </si>
  <si>
    <t>Bu lông 16x450 MN</t>
  </si>
  <si>
    <t>Bu lông 16x50 MN</t>
  </si>
  <si>
    <t>Bu lông 16x500 mạ nhúng</t>
  </si>
  <si>
    <t>Bu lông 16x550 mạ nhúng</t>
  </si>
  <si>
    <t>Bu lông 16x550 VRS MK nhúng nóng</t>
  </si>
  <si>
    <t>Bu lông 16x650 VRS -mạ nhúng (liên kết trụ)</t>
  </si>
  <si>
    <t>Bu lông 16x700 VRS MK nhúng nóng</t>
  </si>
  <si>
    <t>Bu lông 18x350mm</t>
  </si>
  <si>
    <t>Bu lông 8x30 (gắn tiếp đất TI)</t>
  </si>
  <si>
    <t>Bu lông 8x40 (thay đầu DS/LTD)</t>
  </si>
  <si>
    <t>Bu lông gắn điện kế 4x20</t>
  </si>
  <si>
    <t>Bu lông mắc 16x200 mạ nhúng</t>
  </si>
  <si>
    <t>Bu lông mắt 16x250</t>
  </si>
  <si>
    <t>Bu lông mắt 16x300 mạ nhúng</t>
  </si>
  <si>
    <t>Bu lông móc 16x200</t>
  </si>
  <si>
    <t>Bu lông móc 16x200 mạ nhúng</t>
  </si>
  <si>
    <t>Bu lông VRS 16x250 MN</t>
  </si>
  <si>
    <t>Bu lông VRS 16x350 MN</t>
  </si>
  <si>
    <t>Bu lông VRS 16x400 MN</t>
  </si>
  <si>
    <t>Bu lông VRS 16x450 MN</t>
  </si>
  <si>
    <t>Bu lông VRS 18x350 MN</t>
  </si>
  <si>
    <t>Bu lông VRS 18x450 MN</t>
  </si>
  <si>
    <t>Bu lông VRS M16x500</t>
  </si>
  <si>
    <t>Bu lông VRS M16x600</t>
  </si>
  <si>
    <t xml:space="preserve">Bu lôngg móc 16x250 </t>
  </si>
  <si>
    <t>Bulông 16x400</t>
  </si>
  <si>
    <t>Bulông 16x650</t>
  </si>
  <si>
    <t>Bulông móc 16x200</t>
  </si>
  <si>
    <t>Bulông móc 16x400</t>
  </si>
  <si>
    <t>Cách điện đứng 24kV polymer + ty D20</t>
  </si>
  <si>
    <t>Cây cọ loại lớn</t>
  </si>
  <si>
    <t>Cọc tiếp đất 16x2,4m mạ đồng</t>
  </si>
  <si>
    <t>Cọc tiếp đất Ø16 dài 2,4m+sắt tròn Ø10 (vỏ thùng)</t>
  </si>
  <si>
    <t>Cọc tiếp địa 16x2400 hàn dây sắt 6m (gia công theo hình vẽ)</t>
  </si>
  <si>
    <t>Code cùm ống nhựa phi 114</t>
  </si>
  <si>
    <t>Code cùm ống nhựa phi 90</t>
  </si>
  <si>
    <t>Code cùm ống sắt tráng kẽm giữ cáp (ống Ø114,3/100  bao gồm Bu lông)</t>
  </si>
  <si>
    <t>Cose ép đồng cáp 240mm2 (2 lỗ)</t>
  </si>
  <si>
    <t>Cosse đồng 1/0</t>
  </si>
  <si>
    <t>Cosse đồng 2/0</t>
  </si>
  <si>
    <t>Cosse ép Al-Cu 50mm2</t>
  </si>
  <si>
    <t>Cosse ép đầu bít 25mm²</t>
  </si>
  <si>
    <t>Cosse ép đầu bít 6 + mũ chụp (đấu dây nhị thứ) (7 cái/ 1 điện kế đấu 1P3D; 10 cái/ 1 điện kế đấu 3P4D)</t>
  </si>
  <si>
    <t>Cosse ép đầu bít Cu 240mm2</t>
  </si>
  <si>
    <t>Cosse ép đầu bít Cu 95mm2</t>
  </si>
  <si>
    <t>Cosse pin rỗng CE6.0-12 (đấu dây nhị thứ) (5 cái/ 1 điện kế đấu 1P3D; 7 cái/ 1 điện kế đấu 3P4D)</t>
  </si>
  <si>
    <t>Cô dê vít Inox</t>
  </si>
  <si>
    <t>Côdê cùm ống ống HDPE 130/100 (kể cả Bu lông)</t>
  </si>
  <si>
    <t>Côn thu HDPE DN 110-75</t>
  </si>
  <si>
    <t>Côn thu ống HDPE D110-63</t>
  </si>
  <si>
    <t>Côn thu ống HDPE D110-75</t>
  </si>
  <si>
    <t>Cua nhựa PVC phi 114 loại dày</t>
  </si>
  <si>
    <t>Cua nhựa PVC phi 168 loại dày</t>
  </si>
  <si>
    <t>Cua nhựa PVC phi 90 loại dày</t>
  </si>
  <si>
    <t>Cùm đà composite (trạm giàn)</t>
  </si>
  <si>
    <t>Chân cách điện đỉnh L.75x75x8 - 530, mạ nhúng</t>
  </si>
  <si>
    <t>Chụp cách điện polymer cho LA</t>
  </si>
  <si>
    <t>sợi</t>
  </si>
  <si>
    <t>Dây chảy 12K</t>
  </si>
  <si>
    <t>Dây chảy 15K</t>
  </si>
  <si>
    <t>Dây chảy 20K</t>
  </si>
  <si>
    <t>Dây chảy 25K</t>
  </si>
  <si>
    <t>Dây chảy 30K</t>
  </si>
  <si>
    <t>Dây đai Inox</t>
  </si>
  <si>
    <t xml:space="preserve">Decal cảnh báo trung áp </t>
  </si>
  <si>
    <t>Decal chỉ danh thiết bị</t>
  </si>
  <si>
    <t>Đá 4x6</t>
  </si>
  <si>
    <t>Đai ốc cho bu-lông 10mm2</t>
  </si>
  <si>
    <t>Đầu cáp 3M 12,7kV 1 pha, co nguội, ngoài trời - 50mm²</t>
  </si>
  <si>
    <t>Đầu cáp 3M 24kV 1 pha, co nguội, ngoài trời - 185mm²</t>
  </si>
  <si>
    <t>Đầu cáp 3M 24kV 1 pha, co nguội, ngoài trời - 240mm²</t>
  </si>
  <si>
    <t>Đầu cáp 3M 24kV 1 pha, co nguội, ngoài trời - 300mm²</t>
  </si>
  <si>
    <t>Đầu cáp 3M 24kV 1 pha, co nguội, ngoài trời - 70mm²</t>
  </si>
  <si>
    <t>Đầu cáp 3M 24kV 1 pha, co nguội, ngoài trời - 95mm²</t>
  </si>
  <si>
    <t>Đầu cáp ngầm 1 pha 24kV -1x185 mm2 ngoài trời (co rút nguội)</t>
  </si>
  <si>
    <t>Đầu cáp ngầm 1 pha CXV/CRV/S/DATA 240mm2</t>
  </si>
  <si>
    <t>Đầu cosse ép đồng 120</t>
  </si>
  <si>
    <t>Đầu cosse ép đồng 50</t>
  </si>
  <si>
    <t>Đầu cosse ép đồng 70</t>
  </si>
  <si>
    <t>Đầu cosse ép đồng 95</t>
  </si>
  <si>
    <t>Foam (keo bọt nở) làm kín</t>
  </si>
  <si>
    <t>chai</t>
  </si>
  <si>
    <t>Giá sắt treo 3 MBA 1 pha (35,742kg)</t>
  </si>
  <si>
    <t>Giáp níu cố định cổ sứ (Giáp buộc lõi thép) cho dây bọc 120mm2 (đường kính dây 23,4-27,9 mm) 2 sợi cho mỗi vị trí sứ đơn/đôi</t>
  </si>
  <si>
    <t>Giáp níu cố định cổ sứ (Giáp buộc lõi thép) cho dây bọc 70mm2 (đường kính dây 18,5-23,4 mm) 2 sợi cho mỗi vị trí sứ đơn/đôi</t>
  </si>
  <si>
    <t>dây</t>
  </si>
  <si>
    <t>Giáp níu dây cáp nhôm bọc lõi thép trung áp 50mm2</t>
  </si>
  <si>
    <t>hotline 2/0</t>
  </si>
  <si>
    <t>Hộp đấu dây 3 pha</t>
  </si>
  <si>
    <t>Hộp</t>
  </si>
  <si>
    <t>Keo Foam bột nở</t>
  </si>
  <si>
    <t>Kẹp AL 50-70</t>
  </si>
  <si>
    <t>Kẹp cáp thép chằng 5/8'' loại 3 Bu lông</t>
  </si>
  <si>
    <t xml:space="preserve">Kẹp CU/AL 1 Bu lông </t>
  </si>
  <si>
    <t>Kẹp dây chằng 5/8"</t>
  </si>
  <si>
    <t>Kẹp đỡ cáp LV-ABC 4x95</t>
  </si>
  <si>
    <t>Kẹp ép WR379 (70-95/25-50)</t>
  </si>
  <si>
    <t>Kẹp hotline 4/0</t>
  </si>
  <si>
    <t>Kẹp IPC 120-120</t>
  </si>
  <si>
    <t>Kẹp IPC 150-185</t>
  </si>
  <si>
    <t>Kẹp IPC 150-240</t>
  </si>
  <si>
    <t>Kẹp IPC 35-120</t>
  </si>
  <si>
    <t>Kẹp IPC 35-95 mm2 (1 Bu lông)</t>
  </si>
  <si>
    <t>Kẹp IPC 95-35</t>
  </si>
  <si>
    <t>Kẹp IPC 95-95</t>
  </si>
  <si>
    <t>Kẹp ngừng cáp AC 2 Bu lôngg</t>
  </si>
  <si>
    <t>Kẹp ngừng cáp LV.ABC 4x95mm2</t>
  </si>
  <si>
    <t xml:space="preserve">Kẹp PDC - CP/100 Dùng lắp ống HDPE 130/100 với tủ điện </t>
  </si>
  <si>
    <t>Kẹp quai 240 (150-240) + Kẹp Hotline (loại vòng ty)</t>
  </si>
  <si>
    <t>Kẹp splitbolt 1/0</t>
  </si>
  <si>
    <t>Kẹp splitbolt 2/0: 2 cái/bộ</t>
  </si>
  <si>
    <t>kẹp tiếp đất</t>
  </si>
  <si>
    <t>Kẹp treo cáp LV.ABC 4x95mm2</t>
  </si>
  <si>
    <t>Kẹp treo cáp LV-ABC 4x120</t>
  </si>
  <si>
    <t>Kẹp WR 259 (35-70/35-70)</t>
  </si>
  <si>
    <t>Kẹp WR 279 (50-70/50-70)</t>
  </si>
  <si>
    <t>Kẹp WR 379 (35-50/70-95mm2)</t>
  </si>
  <si>
    <t>Kẹp WR 399 (50-70/70-95mm2)</t>
  </si>
  <si>
    <t>Kep WR 419</t>
  </si>
  <si>
    <t>Kẹp WR 815 (25-70/120-240)</t>
  </si>
  <si>
    <t>Kẹp WR 835</t>
  </si>
  <si>
    <t>Kẹp WR 929</t>
  </si>
  <si>
    <t>Khóa đai</t>
  </si>
  <si>
    <t>Khóa néo bán sung 3Bu lông (50-70)</t>
  </si>
  <si>
    <t>Khóa néo báng súng 4u (150-240), nhúng toàn bộ</t>
  </si>
  <si>
    <t>Khung bảng chỉ danh trung áp</t>
  </si>
  <si>
    <t>Khung chỉ danh</t>
  </si>
  <si>
    <t>khung</t>
  </si>
  <si>
    <t>Lem dừng dây 5U (95-120mm²)</t>
  </si>
  <si>
    <t>Long đền vuông d=22 mạ nhúng</t>
  </si>
  <si>
    <t>Long đền vuông Ø24 mạ nhúng</t>
  </si>
  <si>
    <t>Lốc neo bê tông cốt thép 1m2</t>
  </si>
  <si>
    <t>Máng che dây chằng</t>
  </si>
  <si>
    <t>Móc treo chữ U mạ nhúng</t>
  </si>
  <si>
    <t>Mũ chụp cosse ép đồng 120</t>
  </si>
  <si>
    <t>Mũ chụp cosse ép đồng 50</t>
  </si>
  <si>
    <t>Mũ chụp cosse ép đồng 70</t>
  </si>
  <si>
    <t>Mũ chụp cosse ép đồng 95</t>
  </si>
  <si>
    <t>Mũ chụp kẹp quai (vàng, xanh, đỏ)</t>
  </si>
  <si>
    <t>Nắp chụp sứ máy biến áp</t>
  </si>
  <si>
    <t>Nối đất LA, MBA - Cọc số 1(2)</t>
  </si>
  <si>
    <t>Nối đất vỏ thùng - Cọc số 3</t>
  </si>
  <si>
    <t>Nhôm AC 95-120mm2 (3 Bu lông)</t>
  </si>
  <si>
    <t>Ổ khóa 3 số, chống nước, cài đặt mã</t>
  </si>
  <si>
    <t>Ổ khóa số (loại 10 số)</t>
  </si>
  <si>
    <t>Ốc siết cáp chằng 12</t>
  </si>
  <si>
    <t>Ốc xiết cáp đồng 2/0</t>
  </si>
  <si>
    <t>Ống  Compound 50g</t>
  </si>
  <si>
    <t>Ống bê tông cốt thép (ĐK trong D=1000mm; cao H=1000mm)</t>
  </si>
  <si>
    <t>Ống</t>
  </si>
  <si>
    <t>Ống BTCT (đk trong D1=1000mm, cao H=1000mm)</t>
  </si>
  <si>
    <t>Ống BTCT (đk trong D1=800mm, cao H=800mm)</t>
  </si>
  <si>
    <t>Ống ép căng dây nhôm lõi thép AC.50</t>
  </si>
  <si>
    <t>Ống ép căng dây nhôm lõi thép AC.95</t>
  </si>
  <si>
    <t>Ống nối dây AC 150mm2</t>
  </si>
  <si>
    <t>Ống nối dây AC 185mm2</t>
  </si>
  <si>
    <t>Ống nối dây AC 50mm2</t>
  </si>
  <si>
    <t>Ống nối dây AC 70mm2</t>
  </si>
  <si>
    <t>Ống nối dây AC 95mm2</t>
  </si>
  <si>
    <t>Ống nối dây nhôm AC240mm2</t>
  </si>
  <si>
    <t>Ống nối HDPE kiểu H 100-110</t>
  </si>
  <si>
    <t>Ống nhựa HDPE 100 D110 PN10 x6,6mm</t>
  </si>
  <si>
    <t>Ống nhựa HDPE100-  D110 PN 10x6,6mm</t>
  </si>
  <si>
    <t xml:space="preserve">Ống nhựa PVC Ø34 loại dày </t>
  </si>
  <si>
    <t>Ống nhựa PVC Ø34 loại dày 3,0 mm</t>
  </si>
  <si>
    <t>Ống nhựa PVC phi 114 loại dày</t>
  </si>
  <si>
    <t>Ống nhựa PVC phi 168 loại dày</t>
  </si>
  <si>
    <t>Ống nhựa PVC phi 21</t>
  </si>
  <si>
    <t>Ống nhựa PVC phi 90 loại dày</t>
  </si>
  <si>
    <t>Ống nhựa xoắn HDPE Ø130/100</t>
  </si>
  <si>
    <t>Phụ gia chống thấm cho bêtông</t>
  </si>
  <si>
    <t>lít</t>
  </si>
  <si>
    <t>Phụ gia trộn bê tông (Sika)</t>
  </si>
  <si>
    <t>Lít</t>
  </si>
  <si>
    <t>Rack 2</t>
  </si>
  <si>
    <t>Rack 3</t>
  </si>
  <si>
    <t>Rack 4</t>
  </si>
  <si>
    <t>Rack Uclevic</t>
  </si>
  <si>
    <t>Rulo lăn sơn 10cm</t>
  </si>
  <si>
    <t>Sắt tròn gân F 14 dài 1500mm</t>
  </si>
  <si>
    <t>Sơn chống thấm dùng phụ gia Flintkote (3 lớp)</t>
  </si>
  <si>
    <t>Sơn chống thấm Flintkotet</t>
  </si>
  <si>
    <t>Sơn trắng</t>
  </si>
  <si>
    <t>Sơn xám chống sét</t>
  </si>
  <si>
    <t>Sứ chằng</t>
  </si>
  <si>
    <t>Sứ ống chỉ 600 V loại lớn</t>
  </si>
  <si>
    <t>Sứ treo 24kV (loại polymer)</t>
  </si>
  <si>
    <t>Tấm Dcan trong suốt quấn quanh trụ (bảo vệ chung 2 loại biển)-(dài 1,0m x cao 0,54m=0,540 m2)</t>
  </si>
  <si>
    <t>Tấm Dcan trong suốt quấn quanh trụ (bảo vệ)-(dài 0,7m x cao 0,15m=0,105 m2)</t>
  </si>
  <si>
    <t>Ty neo Ø22x2400mm</t>
  </si>
  <si>
    <t>Ty neo Þ 22x3,77m</t>
  </si>
  <si>
    <t>Thanh cái đồng 10x3-300 (7 thanh)</t>
  </si>
  <si>
    <t>Thanh chống composite 40x10x920mm (1,087kg)</t>
  </si>
  <si>
    <t>Thanh chống composite 60x10x1150mm (1,359kg)</t>
  </si>
  <si>
    <t>Thanh chống composite 60x10x850mm (1,005kg)</t>
  </si>
  <si>
    <t>Thanh chống L50x50x5 - 600 mạ nhúng</t>
  </si>
  <si>
    <t>Thanh chống L50x50x5-1150mm (4,288kg)</t>
  </si>
  <si>
    <t>Thanh chống L60x60x6 - 550 mạ nhúng</t>
  </si>
  <si>
    <t>Thanh chống L63x63x6 - 2100 mạ nhúng</t>
  </si>
  <si>
    <t>Thanh Inox dẹp 90x14 dày 2mm</t>
  </si>
  <si>
    <t>Thuốc hàn hóa nhiệt</t>
  </si>
  <si>
    <t>lọ</t>
  </si>
  <si>
    <t>Tôn phẳng (1250x2500x0,344)</t>
  </si>
  <si>
    <t>Ván gỗ</t>
  </si>
  <si>
    <t>Vít đuôi cá tự khoan inox M4 2x16mm</t>
  </si>
  <si>
    <t>Xăng RON 92</t>
  </si>
  <si>
    <t>Xi măng PC40</t>
  </si>
  <si>
    <t>Yếm cáp chằng</t>
  </si>
  <si>
    <t>TB</t>
  </si>
  <si>
    <t>tb</t>
  </si>
  <si>
    <t xml:space="preserve">Đầu cáp ngầm 1 pha 24kV -1x240 mm2 </t>
  </si>
  <si>
    <t xml:space="preserve">Đầu cáp ngầm 1 pha 24kV -1x185 mm2 </t>
  </si>
  <si>
    <t xml:space="preserve">Đầu cáp ngầm 1 pha 24kV -1x95 mm2 </t>
  </si>
  <si>
    <t xml:space="preserve">Đầu cáp ngầm 1 pha 24kV -1x70 mm2 </t>
  </si>
  <si>
    <t>Đầu cáp ngầm 1 pha 24kV -1x70 mm2</t>
  </si>
  <si>
    <t>Đầu cáp ngầm 1 pha 24kV -1x185 mm2</t>
  </si>
  <si>
    <t>Đầu cáp ngầm 1 pha 24kV -1x95 mm2</t>
  </si>
  <si>
    <t xml:space="preserve">              (12T x 200km x 1.398đ/T.km x 1,3 x 1,2 x 3 chuyến)/1,1 =                    </t>
  </si>
  <si>
    <t>Thay dây buộc cổ sứ</t>
  </si>
  <si>
    <t>Dây CX.70mm2</t>
  </si>
  <si>
    <t>Dây CV.50mm2</t>
  </si>
  <si>
    <t>Dây CV.150mm2</t>
  </si>
  <si>
    <t>Dây CXH.70mm2</t>
  </si>
  <si>
    <t>05.08.202</t>
  </si>
  <si>
    <t>05.08.201</t>
  </si>
  <si>
    <t xml:space="preserve">Bộ đà néo 2,4m (3 ốp), lắp trụ pi </t>
  </si>
  <si>
    <t>Bộ cách điện đứng 24kV polymer (Sử dụng lại)</t>
  </si>
  <si>
    <t>Thu hồi dây CXH.185mm2</t>
  </si>
  <si>
    <t>Thu hồi dây CV.150mm2</t>
  </si>
  <si>
    <t>Thu hồi dây CXH.70mm2</t>
  </si>
  <si>
    <t>Thu hồi dây CV.50mm2</t>
  </si>
  <si>
    <t>Thu hồi bộ đà néo kép 2m4 - 3ốp trụ pi (gồm 2 đà 2m4 3ốp), NCx0,7</t>
  </si>
  <si>
    <t>Thu hồi bộ đà néo kép 2m4 - 4ốp (gồm 2 đà 2m4 - 4ốp + 4 thanh chống 60x6-920)</t>
  </si>
  <si>
    <t>Thu hồi bộ đà đỡ đơn sắt 2m4 - 4ốp (gồm 1 đà 2m4 - 4ốp + 2 thanh chống 60x6-920)</t>
  </si>
  <si>
    <t>Thu hồi bộ đà  đỡ đơn 2m - 3 ốp (gồm 1 đà 2m - 3ốp + 1 thanh chống 60x6-1150)</t>
  </si>
  <si>
    <t>Thu hồi bộ đà kép đỡ 2m - 3 ốp (gồm 2 đà 2m - 3ốp + 2 thanh chống 60x6-1150)</t>
  </si>
  <si>
    <t>Thu hồi bộ đà kép néo 2m - 2 ốp (gồm 2 đà 2m - 2ốp + 4 thanh chống 60x6-920)</t>
  </si>
  <si>
    <t>Thu hồi bộ Uclevis + sứ ống chỉ đỡ lắp trên trụ đơn</t>
  </si>
  <si>
    <t>Ống STK  Ø160/125 trơn nhẵn bề mặt (dây pha)- Phần lên trụ - Thu hồi: 306m</t>
  </si>
  <si>
    <t>Ống STK Ø130/100 trơn nhẵn bề mặt (dây trung tính) - Phần lên trụ - Thu hồi: 102m</t>
  </si>
  <si>
    <t>Kẹp quai 4/0 (loại ty) - Thu hồi: 03 cái</t>
  </si>
  <si>
    <t>Kẹp Hotline 2/0 - Thu hồi: 03 cái</t>
  </si>
  <si>
    <t>Giáp níu dây 185mm2  - Thu hồi: 12 cái</t>
  </si>
  <si>
    <t>Giáp níu dây 70mm2 - Thu hồi: 06 cái</t>
  </si>
  <si>
    <t>Khóa néo ngừng dây 5U - Thu hồi: 24 cái</t>
  </si>
  <si>
    <t>Khóa néo ngừng dây 3U - Thu hồi: 08 cái</t>
  </si>
  <si>
    <t>Đầu cáp ngầm 1 pha 24kV -1x240 mm2  - Thu hồi: 27 cái</t>
  </si>
  <si>
    <t>Đầu cáp ngầm 1 pha 24kV -1x185 mm2  - Thu hồi: 06 cái</t>
  </si>
  <si>
    <t>Đầu cáp ngầm 1 pha 24kV -1x95 mm2  - Thu hồi: 12 cái</t>
  </si>
  <si>
    <t>Đầu cáp ngầm 1 pha 24kV -1x70 mm2 - Thu hồi: 06 cái</t>
  </si>
  <si>
    <t>Nhà thầu tự tính khối lượng</t>
  </si>
  <si>
    <r>
      <rPr>
        <sz val="11"/>
        <color rgb="FFFF0000"/>
        <rFont val="Times New Roman"/>
        <family val="1"/>
      </rPr>
      <t>Thu hồi</t>
    </r>
    <r>
      <rPr>
        <sz val="11"/>
        <rFont val="Times New Roman"/>
        <family val="1"/>
      </rPr>
      <t xml:space="preserve"> Trụ đơn BTLT 8,5m</t>
    </r>
  </si>
  <si>
    <r>
      <t xml:space="preserve">Kẹp ngừng cáp ABC 4x120mm2 </t>
    </r>
    <r>
      <rPr>
        <sz val="11"/>
        <color rgb="FFFF0000"/>
        <rFont val="Times New Roman"/>
        <family val="1"/>
      </rPr>
      <t>- Thu hồi: 04 cái</t>
    </r>
  </si>
  <si>
    <r>
      <t xml:space="preserve">Kẹp đỡ cáp ABC 4x120mm2 </t>
    </r>
    <r>
      <rPr>
        <sz val="11"/>
        <color rgb="FFFF0000"/>
        <rFont val="Times New Roman"/>
        <family val="1"/>
      </rPr>
      <t>- Thu hồi: 07 cái</t>
    </r>
  </si>
  <si>
    <r>
      <t>Kẹp CU/AL 1 bulon</t>
    </r>
    <r>
      <rPr>
        <sz val="11"/>
        <color rgb="FFFF0000"/>
        <rFont val="Times New Roman"/>
        <family val="1"/>
      </rPr>
      <t xml:space="preserve"> - Thu hồi: 09 cái</t>
    </r>
  </si>
  <si>
    <r>
      <t xml:space="preserve">Kẹp IPC 35-95  (1 bulon) </t>
    </r>
    <r>
      <rPr>
        <sz val="11"/>
        <color rgb="FFFF0000"/>
        <rFont val="Times New Roman"/>
        <family val="1"/>
      </rPr>
      <t>- Thu hồi: 187 cái</t>
    </r>
  </si>
  <si>
    <r>
      <t xml:space="preserve">Kẹp IPC 120-120 (2 bulon) </t>
    </r>
    <r>
      <rPr>
        <sz val="11"/>
        <color rgb="FFFF0000"/>
        <rFont val="Times New Roman"/>
        <family val="1"/>
      </rPr>
      <t>- Thu hồi: 46 cái</t>
    </r>
  </si>
  <si>
    <r>
      <t xml:space="preserve">Kẹp nhôm AC 50-70mm2 (2 bulon) </t>
    </r>
    <r>
      <rPr>
        <sz val="11"/>
        <color rgb="FFFF0000"/>
        <rFont val="Times New Roman"/>
        <family val="1"/>
      </rPr>
      <t>- Thu hồi: 257 cái</t>
    </r>
  </si>
  <si>
    <t>MẪU SỐ 01B. BẢNG KHỐI LƯỢNG CÔNG VIỆC MỜI THẦU</t>
  </si>
  <si>
    <t>Điền thông tin số thứ tự từ 1 trở đi. Trường hợp muốn nhập thông tin cấp con điền giá trị 1.1 hoặc 1.1.1.</t>
  </si>
  <si>
    <t>Điền mô tả công việc mời thầu để nhà thầu làm cơ sở chào giá. Hệ thống hỗ trợ kê khai tối đa 3 cấp thông tin. VD: cấp 1: Xây dựng nhà Bán trú; Cấp 2: Phần móng; Cấp 3: Bê tông cọc;...
Tương tự phần số TT điền như sau: cấp 1: STT =1 ; Cấp 2: STT =1.1; Cấp 3: STT =1.1.1.</t>
  </si>
  <si>
    <t>Nhập 'Theo quy định tại chương V'</t>
  </si>
  <si>
    <t>Điền thông tin khối lượng cần yêu cầu. 
Lưu ý: Định dạng dấu chấm ngăn cách phần nghìn, dấu phẩy ngăn cách phần thập phân. Tối đa 4 số thập phân sau dấu ','. 
Ví dụ: 2.362,5505;…
BMT nên kiểm tra lại cài đặt định dạng hiển thị trên máy trong Control panel để biết định dạng hiện tại đang dùng trong Excel: https://prnt.sc/-kDLF4BXJobx</t>
  </si>
  <si>
    <t>Nhập thông tin đơn vị tính ví dụ: Tấn; Tạ;...</t>
  </si>
  <si>
    <t>STT (1)</t>
  </si>
  <si>
    <t>Mô tả công việc mời thầu (2)</t>
  </si>
  <si>
    <t>Yêu cầu kỹ thuật/Chỉ dẫn kỹ thuật chính (3)</t>
  </si>
  <si>
    <t>Khối lượng mời thầu (4)</t>
  </si>
  <si>
    <t>Đơn vị tính (5)</t>
  </si>
  <si>
    <t>Theo quy định tại chương V</t>
  </si>
  <si>
    <t>PHẦN THÁO DỠ, THU HỒI</t>
  </si>
  <si>
    <t>Ghi chú: - Chi phí thông báo đóng cắt điện trên các phương tiện thông tin đại chúng, chi phí thao tác đóng cắt điện để phục vụ thi công, chi phí di chuyển thiết bị thi công và lực lượng lao động đến công trường, chi phí đảm bảo an toàn giao thông phục vụ thi công các công trình, nhà thầu tính toán và dự tính các chi phí này trong giá dự thầu của nhà thầu.</t>
  </si>
  <si>
    <t>Đối với công tác đào, đắp đất: Nhà thầu phải đi khảo sát hiện trường và tự tính toán chào khối lượng, đơn giá, khối lượng và đơn giá chào này được xem là cơ sở để Bên A nghiệm thu, quyết toán khối lượng sau này (tức là nhà thầu chào trọn gói cho công tác này).</t>
  </si>
  <si>
    <t xml:space="preserve"> Đối với công tác ván khuôn: Trong HSMT sẽ không ghi đầu mục công việc và khối lượng dự toán vào tiên lượng mời thầu của HSMT: “Nhà thầu tính toán và chào giá chung vào giá của công tác bê tông (tức là nhà thầu sẽ gộp 2 khối lượng bê tông và ván khuôn lại với nhau).</t>
  </si>
  <si>
    <t>Đơn giá dự thầu đã bao gồm thuế giá trị gia tăng (10%) các chi phí: chi phí nhà tạm, chi phí chung, chi phí thử nghiệm, chi phí phát tuyến đường dây để thi công, ....</t>
  </si>
  <si>
    <t>Ống STK  Ø160/125 trơn nhẵn bề mặt (dây pha) - Phần lên trụ - Thu hồi: 306m</t>
  </si>
  <si>
    <t>Bộ cách điện đứng 24kV (loại Pin post)</t>
  </si>
  <si>
    <t>Bộ cách điện đứng Pin post 24kV (Chiều dài đường rò tối thiểu trên bề mặt cách điện ≥ 31mm/kV) + ty sứ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</si>
</sst>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quot;₫&quot;;[Red]\-#,##0\ &quot;₫&quot;"/>
    <numFmt numFmtId="165" formatCode="_-* #,##0\ &quot;₫&quot;_-;\-* #,##0\ &quot;₫&quot;_-;_-* &quot;-&quot;\ &quot;₫&quot;_-;_-@_-"/>
    <numFmt numFmtId="166" formatCode="_-* #,##0_-;\-* #,##0_-;_-* &quot;-&quot;_-;_-@_-"/>
    <numFmt numFmtId="167" formatCode="_-* #,##0.00\ &quot;₫&quot;_-;\-* #,##0.00\ &quot;₫&quot;_-;_-* &quot;-&quot;??\ &quot;₫&quot;_-;_-@_-"/>
    <numFmt numFmtId="168" formatCode="_-* #,##0.00_-;\-* #,##0.00_-;_-* &quot;-&quot;??_-;_-@_-"/>
    <numFmt numFmtId="169" formatCode="&quot;£&quot;#,##0.00;\-&quot;£&quot;#,##0.00"/>
    <numFmt numFmtId="170" formatCode="_-* #,##0\ _₫_-;\-* #,##0\ _₫_-;_-* &quot;-&quot;\ _₫_-;_-@_-"/>
    <numFmt numFmtId="171" formatCode="_-* #,##0.00\ _₫_-;\-* #,##0.00\ _₫_-;_-* &quot;-&quot;??\ _₫_-;_-@_-"/>
    <numFmt numFmtId="172" formatCode="#,##0\ &quot;F&quot;;[Red]\-#,##0\ &quot;F&quot;"/>
    <numFmt numFmtId="173" formatCode="#,##0.00\ &quot;F&quot;;[Red]\-#,##0.00\ &quot;F&quot;"/>
    <numFmt numFmtId="174" formatCode="_-* #,##0\ &quot;F&quot;_-;\-* #,##0\ &quot;F&quot;_-;_-* &quot;-&quot;\ &quot;F&quot;_-;_-@_-"/>
    <numFmt numFmtId="175" formatCode="_-* #,##0\ _F_-;\-* #,##0\ _F_-;_-* &quot;-&quot;\ _F_-;_-@_-"/>
    <numFmt numFmtId="176" formatCode="_-* #,##0.00\ &quot;F&quot;_-;\-* #,##0.00\ &quot;F&quot;_-;_-* &quot;-&quot;??\ &quot;F&quot;_-;_-@_-"/>
    <numFmt numFmtId="177" formatCode="_-* #,##0.00\ _F_-;\-* #,##0.00\ _F_-;_-* &quot;-&quot;??\ _F_-;_-@_-"/>
    <numFmt numFmtId="178" formatCode="#,##0.000"/>
    <numFmt numFmtId="179" formatCode="_-&quot;$&quot;* #,##0_-;\-&quot;$&quot;* #,##0_-;_-&quot;$&quot;* &quot;-&quot;_-;_-@_-"/>
    <numFmt numFmtId="180" formatCode="_-&quot;$&quot;* #,##0.00_-;\-&quot;$&quot;* #,##0.00_-;_-&quot;$&quot;* &quot;-&quot;??_-;_-@_-"/>
    <numFmt numFmtId="181" formatCode="_ * #,##0_)\ _$_ ;_ * \(#,##0\)\ _$_ ;_ * &quot;-&quot;_)\ _$_ ;_ @_ "/>
    <numFmt numFmtId="182" formatCode="0.00_)"/>
    <numFmt numFmtId="183" formatCode="\$#,##0\ ;\(\$#,##0\)"/>
    <numFmt numFmtId="184" formatCode="_ * #,##0_ ;_ * \-#,##0_ ;_ * &quot;-&quot;_ ;_ @_ "/>
    <numFmt numFmtId="185" formatCode="_ * #,##0.00_ ;_ * \-#,##0.00_ ;_ * &quot;-&quot;??_ ;_ @_ "/>
    <numFmt numFmtId="186" formatCode="_(* #,##0_);_(* \(#,##0\);_(* &quot;-&quot;??_);_(@_)"/>
    <numFmt numFmtId="187" formatCode="0\ \ \ \ "/>
    <numFmt numFmtId="188" formatCode="_-* #,##0.0\ _F_-;\-* #,##0.0\ _F_-;_-* &quot;-&quot;??\ _F_-;_-@_-"/>
    <numFmt numFmtId="189" formatCode="_-* #,##0\ _F_-;\-* #,##0\ _F_-;_-* &quot;-&quot;??\ _F_-;_-@_-"/>
    <numFmt numFmtId="190" formatCode="_(* #,##0.00000000_);_(* \(#,##0.00000000\);_(* &quot;-&quot;??_);_(@_)"/>
    <numFmt numFmtId="191" formatCode="_-* #,##0\ &quot;ñ&quot;_-;\-* #,##0\ &quot;ñ&quot;_-;_-* &quot;-&quot;\ &quot;ñ&quot;_-;_-@_-"/>
    <numFmt numFmtId="192" formatCode="_-* #,##0\ _ñ_-;\-* #,##0\ _ñ_-;_-* &quot;-&quot;\ _ñ_-;_-@_-"/>
    <numFmt numFmtId="193" formatCode="_-* #,##0.00\ _ñ_-;\-* #,##0.00\ _ñ_-;_-* &quot;-&quot;??\ _ñ_-;_-@_-"/>
    <numFmt numFmtId="194" formatCode="_-&quot;ñ&quot;* #,##0_-;\-&quot;ñ&quot;* #,##0_-;_-&quot;ñ&quot;* &quot;-&quot;_-;_-@_-"/>
    <numFmt numFmtId="195" formatCode="_-* #,##0\ &quot;$&quot;_-;\-* #,##0\ &quot;$&quot;_-;_-* &quot;-&quot;\ &quot;$&quot;_-;_-@_-"/>
    <numFmt numFmtId="196" formatCode="_-* #,##0\ _$_-;\-* #,##0\ _$_-;_-* &quot;-&quot;\ _$_-;_-@_-"/>
    <numFmt numFmtId="197" formatCode="#,##0.00\ \ \ "/>
    <numFmt numFmtId="198" formatCode="#,##0.00\ \ "/>
    <numFmt numFmtId="199" formatCode="#,##0.00\ "/>
    <numFmt numFmtId="200" formatCode="_ * #,##0_)\ &quot;F&quot;_ ;_ * \(#,##0\)\ &quot;F&quot;_ ;_ * &quot;-&quot;_)\ &quot;F&quot;_ ;_ @_ "/>
    <numFmt numFmtId="201" formatCode="&quot;\&quot;#,##0;[Red]&quot;\&quot;&quot;\&quot;\-#,##0"/>
    <numFmt numFmtId="202" formatCode="&quot;\&quot;#,##0.00;[Red]&quot;\&quot;&quot;\&quot;&quot;\&quot;&quot;\&quot;&quot;\&quot;&quot;\&quot;\-#,##0.00"/>
    <numFmt numFmtId="203" formatCode="_ * #,##0_ ;_ * \-#,##0_ ;_ * &quot;-&quot;??_ ;_ @_ "/>
    <numFmt numFmtId="204" formatCode="_ * #,##0_)\ &quot;$&quot;_ ;_ * \(#,##0\)\ &quot;$&quot;_ ;_ * &quot;-&quot;_)\ &quot;$&quot;_ ;_ @_ "/>
    <numFmt numFmtId="205" formatCode="_ * #,##0.00_)\ _$_ ;_ * \(#,##0.00\)\ _$_ ;_ * &quot;-&quot;??_)\ _$_ ;_ @_ "/>
    <numFmt numFmtId="206" formatCode="_(* #,##0.000_);_(* \(#,##0.000\);_(* &quot;-&quot;??_);_(@_)"/>
    <numFmt numFmtId="207" formatCode="0.0"/>
    <numFmt numFmtId="208" formatCode="\ \ \-\ @"/>
    <numFmt numFmtId="209" formatCode="_-* #,##0\ _F_-;\-* #,##0\ _F_-;_-* &quot;-&quot;\ _F_-;[Red]_-@_-"/>
    <numFmt numFmtId="210" formatCode="0.000"/>
    <numFmt numFmtId="211" formatCode="_(* #,##0.0000_);_(* \(#,##0.0000\);_(* &quot;-&quot;??_);_(@_)"/>
    <numFmt numFmtId="212" formatCode="#,##0.00\ \ \ \ "/>
    <numFmt numFmtId="213" formatCode="_-* #,##0\ &quot;FB&quot;_-;\-* #,##0\ &quot;FB&quot;_-;_-* &quot;-&quot;\ &quot;FB&quot;_-;_-@_-"/>
    <numFmt numFmtId="214" formatCode="_ * #,##0_)_F_ ;_ * \(#,##0\)_F_ ;_ * &quot;-&quot;_)_F_ ;_ @_ "/>
    <numFmt numFmtId="215" formatCode="_ * #,##0.00_)_F_ ;_ * \(#,##0.00\)_F_ ;_ * &quot;-&quot;??_)_F_ ;_ @_ "/>
    <numFmt numFmtId="216" formatCode="_(&quot;$&quot;\ * #,##0_);_(&quot;$&quot;\ * \(#,##0\);_(&quot;$&quot;\ * &quot;-&quot;_);_(@_)"/>
    <numFmt numFmtId="217" formatCode="&quot;fl&quot;\ #,##0_-;[Red]&quot;fl&quot;\ #,##0\-"/>
    <numFmt numFmtId="218" formatCode="_-* #,##0&quot;VND&quot;_-;_-* #,##0&quot;VND&quot;\-;_-* &quot;-&quot;&quot;VND&quot;_-;_-@_-"/>
    <numFmt numFmtId="219" formatCode="_-* #,##0.00\ &quot;$&quot;_-;\-* #,##0.00\ &quot;$&quot;_-;_-* &quot;-&quot;??\ &quot;$&quot;_-;_-@_-"/>
    <numFmt numFmtId="220" formatCode="_-&quot;F&quot;* #,##0_-;\-&quot;F&quot;* #,##0_-;_-&quot;F&quot;* &quot;-&quot;_-;_-@_-"/>
    <numFmt numFmtId="221" formatCode="_(* #,##0.000000_);_(* \(#,##0.000000\);_(* &quot;-&quot;??_);_(@_)"/>
    <numFmt numFmtId="222" formatCode="_-* #,##0\ _₫_-;\-* #,##0\ _₫_-;_-* &quot;- &quot;_₫_-;_-@_-"/>
    <numFmt numFmtId="223" formatCode="_-* #,##0.00\ _₫_-;\-* #,##0.00\ _₫_-;_-* \-??\ _₫_-;_-@_-"/>
    <numFmt numFmtId="224" formatCode="_ * #,##0_)\ _$_ ;_ * \(#,##0&quot;) &quot;_$_ ;_ * \-_)\ _$_ ;_ @_ "/>
    <numFmt numFmtId="225" formatCode="_-\₫* #,##0_-;&quot;-₫&quot;* #,##0_-;_-\₫* \-_-;_-@_-"/>
    <numFmt numFmtId="226" formatCode="_ * #,##0_)&quot; ₫&quot;_ ;_ * \(#,##0&quot;) ₫&quot;_ ;_ * \-_)&quot; ₫&quot;_ ;_ @_ "/>
    <numFmt numFmtId="227" formatCode="_-* #,##0&quot; ₫&quot;_-;\-* #,##0&quot; ₫&quot;_-;_-* &quot;- ₫&quot;_-;_-@_-"/>
    <numFmt numFmtId="228" formatCode="_-* #,##0&quot; $&quot;_-;\-* #,##0&quot; $&quot;_-;_-* &quot;- $&quot;_-;_-@_-"/>
    <numFmt numFmtId="229" formatCode="_(\$* #,##0_);_(\$* \(#,##0\);_(\$* \-_);_(@_)"/>
    <numFmt numFmtId="230" formatCode="_ * #,##0_)&quot; $&quot;_ ;_ * \(#,##0&quot;) $&quot;_ ;_ * \-_)&quot; $&quot;_ ;_ @_ "/>
    <numFmt numFmtId="231" formatCode="_ * #,##0_)\ &quot;₫&quot;_ ;_ * \(#,##0\)\ &quot;₫&quot;_ ;_ * &quot;-&quot;_)\ &quot;₫&quot;_ ;_ @_ "/>
    <numFmt numFmtId="232" formatCode="_-\$* #,##0_-;&quot;-$&quot;* #,##0_-;_-\$* \-_-;_-@_-"/>
    <numFmt numFmtId="233" formatCode="_-&quot;₫&quot;* #,##0_-;\-&quot;₫&quot;* #,##0_-;_-&quot;₫&quot;* &quot;-&quot;_-;_-@_-"/>
    <numFmt numFmtId="234" formatCode="_-* #,##0.00\ _V_N_D_-;\-* #,##0.00\ _V_N_D_-;_-* &quot;-&quot;??\ _V_N_D_-;_-@_-"/>
    <numFmt numFmtId="235" formatCode="_(* #,##0.00_);_(* \(#,##0.00\);_(* \-??_);_(@_)"/>
    <numFmt numFmtId="236" formatCode="_(&quot;₫ &quot;* #,##0_);_(&quot;₫ &quot;* \(#,##0\);_(&quot;₫ &quot;* \-_);_(@_)"/>
    <numFmt numFmtId="237" formatCode="_(&quot;₫&quot;\ * #,##0_);_(&quot;₫&quot;\ * \(#,##0\);_(&quot;₫&quot;\ * &quot;-&quot;_);_(@_)"/>
    <numFmt numFmtId="238" formatCode="_(&quot;$ &quot;* #,##0_);_(&quot;$ &quot;* \(#,##0\);_(&quot;$ &quot;* \-_);_(@_)"/>
    <numFmt numFmtId="239" formatCode="_-* #,##0\ _V_N_D_-;\-* #,##0\ _V_N_D_-;_-* &quot;-&quot;\ _V_N_D_-;_-@_-"/>
    <numFmt numFmtId="240" formatCode="_(* #,##0_);_(* \(#,##0\);_(* \-_);_(@_)"/>
    <numFmt numFmtId="241" formatCode="_-* #,##0.00&quot; ₫&quot;_-;\-* #,##0.00&quot; ₫&quot;_-;_-* \-??&quot; ₫&quot;_-;_-@_-"/>
    <numFmt numFmtId="242" formatCode="_(\$* #,##0.00_);_(\$* \(#,##0.00\);_(\$* \-??_);_(@_)"/>
    <numFmt numFmtId="243" formatCode="0##\.####"/>
    <numFmt numFmtId="244" formatCode="_(* #,##0.000000_);_(* \(#,##0.000000\);_(* \-??_);_(@_)"/>
    <numFmt numFmtId="245" formatCode="_ * #,##0.00_)\ _$_ ;_ * \(#,##0.00&quot;) &quot;_$_ ;_ * \-??_)\ _$_ ;_ @_ "/>
    <numFmt numFmtId="246" formatCode="_-* #,##0_-;\-* #,##0_-;_-* \-_-;_-@_-"/>
    <numFmt numFmtId="247" formatCode="_-\$* #,##0.00_-;&quot;-$&quot;* #,##0.00_-;_-\$* \-??_-;_-@_-"/>
    <numFmt numFmtId="248" formatCode="_-* #,##0.00_-;\-* #,##0.00_-;_-* \-??_-;_-@_-"/>
    <numFmt numFmtId="249" formatCode="#,##0.00&quot; F&quot;;[Red]\-#,##0.00&quot; F&quot;"/>
    <numFmt numFmtId="250" formatCode="#,##0.0000"/>
    <numFmt numFmtId="251" formatCode="0.0000"/>
    <numFmt numFmtId="252" formatCode="#,##0.0_);[Red]\(#,##0.0\)"/>
    <numFmt numFmtId="253" formatCode="#,##0.0"/>
    <numFmt numFmtId="254" formatCode="##,###.00"/>
  </numFmts>
  <fonts count="164">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3"/>
      <color theme="1"/>
      <name val="Times New Roman"/>
      <family val="2"/>
    </font>
    <font>
      <sz val="10"/>
      <name val="Times New Roman"/>
      <family val="1"/>
    </font>
    <font>
      <b/>
      <sz val="14"/>
      <name val="Times New Roman"/>
      <family val="1"/>
    </font>
    <font>
      <b/>
      <sz val="12"/>
      <name val="Times New Roman"/>
      <family val="1"/>
    </font>
    <font>
      <sz val="11"/>
      <name val="Times New Roman"/>
      <family val="1"/>
    </font>
    <font>
      <b/>
      <sz val="11"/>
      <name val="Times New Roman"/>
      <family val="1"/>
    </font>
    <font>
      <sz val="10"/>
      <name val="Times New Roman"/>
      <family val="1"/>
    </font>
    <font>
      <b/>
      <sz val="10"/>
      <name val="Times New Roman"/>
      <family val="1"/>
    </font>
    <font>
      <sz val="12"/>
      <name val="Times New Roman"/>
      <family val="1"/>
    </font>
    <font>
      <sz val="10"/>
      <name val="VNI-Times"/>
    </font>
    <font>
      <sz val="12"/>
      <name val="???"/>
      <family val="3"/>
    </font>
    <font>
      <sz val="12"/>
      <name val="VNI-Times"/>
    </font>
    <font>
      <sz val="12"/>
      <color indexed="8"/>
      <name val="¹ÙÅÁÃ¼"/>
      <family val="1"/>
      <charset val="129"/>
    </font>
    <font>
      <sz val="14"/>
      <name val="VNI-Times"/>
    </font>
    <font>
      <sz val="12"/>
      <name val="¹UAAA¼"/>
      <family val="3"/>
      <charset val="129"/>
    </font>
    <font>
      <sz val="11"/>
      <name val="VNI-Times"/>
    </font>
    <font>
      <sz val="12"/>
      <name val="¹ÙÅÁÃ¼"/>
      <charset val="129"/>
    </font>
    <font>
      <sz val="11"/>
      <name val="µ¸¿ò"/>
      <charset val="129"/>
    </font>
    <font>
      <b/>
      <sz val="10"/>
      <name val="Helv"/>
    </font>
    <font>
      <sz val="10"/>
      <name val="Arial"/>
      <family val="2"/>
    </font>
    <font>
      <sz val="11"/>
      <name val="VNtimes new roman"/>
      <family val="2"/>
    </font>
    <font>
      <sz val="8"/>
      <name val="Arial"/>
      <family val="2"/>
    </font>
    <font>
      <b/>
      <sz val="12"/>
      <name val="Helv"/>
    </font>
    <font>
      <b/>
      <sz val="12"/>
      <name val="Arial"/>
      <family val="2"/>
    </font>
    <font>
      <b/>
      <sz val="18"/>
      <name val="Arial"/>
      <family val="2"/>
    </font>
    <font>
      <b/>
      <sz val="11"/>
      <name val="Helv"/>
    </font>
    <font>
      <b/>
      <i/>
      <sz val="16"/>
      <name val="Helv"/>
    </font>
    <font>
      <sz val="10"/>
      <name val="Arial"/>
      <family val="2"/>
    </font>
    <font>
      <sz val="13"/>
      <name val=".VnTime"/>
      <family val="2"/>
    </font>
    <font>
      <sz val="12"/>
      <name val=".VnTime"/>
      <family val="2"/>
    </font>
    <font>
      <sz val="10"/>
      <name val="VNI-Univer"/>
    </font>
    <font>
      <sz val="10"/>
      <name val="VNI-Helve-Condense"/>
    </font>
    <font>
      <sz val="14"/>
      <name val="뼻뮝"/>
      <family val="3"/>
      <charset val="129"/>
    </font>
    <font>
      <sz val="12"/>
      <name val="바탕체"/>
      <family val="3"/>
    </font>
    <font>
      <sz val="12"/>
      <name val="뼻뮝"/>
      <family val="1"/>
      <charset val="129"/>
    </font>
    <font>
      <sz val="12"/>
      <name val="新細明體"/>
      <charset val="136"/>
    </font>
    <font>
      <sz val="10"/>
      <name val="굴림체"/>
      <family val="3"/>
      <charset val="129"/>
    </font>
    <font>
      <sz val="12"/>
      <name val="????"/>
      <charset val="136"/>
    </font>
    <font>
      <sz val="8"/>
      <name val="Tahoma"/>
      <family val="2"/>
    </font>
    <font>
      <sz val="10"/>
      <name val="MS Sans Serif"/>
      <family val="2"/>
    </font>
    <font>
      <sz val="12"/>
      <name val="Courier"/>
      <family val="3"/>
    </font>
    <font>
      <b/>
      <sz val="10"/>
      <name val="VNI-Times"/>
    </font>
    <font>
      <sz val="12"/>
      <color indexed="58"/>
      <name val="VNI-Helve-Condense"/>
    </font>
    <font>
      <b/>
      <sz val="12"/>
      <color indexed="58"/>
      <name val="VNI-Helve-Condense"/>
    </font>
    <font>
      <sz val="10"/>
      <name val="VNI-WIN Sample Font"/>
    </font>
    <font>
      <sz val="11"/>
      <color indexed="8"/>
      <name val="Times New Roman"/>
      <family val="1"/>
    </font>
    <font>
      <b/>
      <sz val="11"/>
      <color indexed="8"/>
      <name val="Times New Roman"/>
      <family val="1"/>
    </font>
    <font>
      <b/>
      <sz val="11"/>
      <name val="VNI-Times"/>
    </font>
    <font>
      <sz val="11"/>
      <color indexed="32"/>
      <name val="VNI-Times"/>
    </font>
    <font>
      <b/>
      <sz val="14"/>
      <color indexed="8"/>
      <name val="Times New Roman"/>
      <family val="1"/>
    </font>
    <font>
      <sz val="12"/>
      <color indexed="8"/>
      <name val="Times New Roman"/>
      <family val="1"/>
    </font>
    <font>
      <b/>
      <sz val="10"/>
      <color indexed="33"/>
      <name val="VNI-Times"/>
    </font>
    <font>
      <b/>
      <sz val="10"/>
      <color indexed="12"/>
      <name val="VNI-Times"/>
    </font>
    <font>
      <b/>
      <sz val="10"/>
      <color indexed="10"/>
      <name val="VNI-Times"/>
    </font>
    <font>
      <b/>
      <sz val="10"/>
      <name val="VNI-Univer"/>
    </font>
    <font>
      <sz val="12"/>
      <color indexed="8"/>
      <name val="VNI-Times"/>
    </font>
    <font>
      <sz val="10"/>
      <name val=".VnArial"/>
      <family val="2"/>
    </font>
    <font>
      <sz val="12"/>
      <name val="???"/>
      <family val="1"/>
      <charset val="129"/>
    </font>
    <font>
      <b/>
      <sz val="10"/>
      <name val="VNI-Centur"/>
      <family val="2"/>
    </font>
    <font>
      <sz val="10"/>
      <name val="VNI-Aptima"/>
    </font>
    <font>
      <b/>
      <sz val="12"/>
      <name val="VN-NTime"/>
    </font>
    <font>
      <b/>
      <u/>
      <sz val="14"/>
      <color indexed="58"/>
      <name val="Times New Roman"/>
      <family val="1"/>
    </font>
    <font>
      <sz val="12"/>
      <color indexed="58"/>
      <name val="Times New Roman"/>
      <family val="1"/>
    </font>
    <font>
      <b/>
      <sz val="15"/>
      <color indexed="58"/>
      <name val="Times New Roman"/>
      <family val="1"/>
    </font>
    <font>
      <b/>
      <u/>
      <sz val="14"/>
      <name val="Times New Roman"/>
      <family val="1"/>
    </font>
    <font>
      <b/>
      <sz val="12"/>
      <color indexed="58"/>
      <name val="Times New Roman"/>
      <family val="1"/>
    </font>
    <font>
      <b/>
      <sz val="14"/>
      <color indexed="58"/>
      <name val="Times New Roman"/>
      <family val="1"/>
    </font>
    <font>
      <b/>
      <sz val="13"/>
      <name val="Times New Roman"/>
      <family val="1"/>
    </font>
    <font>
      <b/>
      <sz val="13"/>
      <color indexed="58"/>
      <name val="Times New Roman"/>
      <family val="1"/>
    </font>
    <font>
      <b/>
      <sz val="18"/>
      <color indexed="58"/>
      <name val="Times New Roman"/>
      <family val="1"/>
    </font>
    <font>
      <b/>
      <u/>
      <sz val="13"/>
      <name val="Times New Roman"/>
      <family val="1"/>
    </font>
    <font>
      <b/>
      <sz val="10"/>
      <name val="Times New Roman"/>
      <family val="1"/>
    </font>
    <font>
      <sz val="11"/>
      <name val="Times New Roman"/>
      <family val="1"/>
      <charset val="163"/>
    </font>
    <font>
      <sz val="13"/>
      <name val="Times New Roman"/>
      <family val="1"/>
    </font>
    <font>
      <sz val="10"/>
      <name val="Times New Roman"/>
      <family val="1"/>
      <charset val="163"/>
    </font>
    <font>
      <sz val="10"/>
      <name val="Times New Roman"/>
      <family val="1"/>
    </font>
    <font>
      <b/>
      <sz val="10"/>
      <color indexed="10"/>
      <name val="Times New Roman"/>
      <family val="1"/>
    </font>
    <font>
      <b/>
      <sz val="10"/>
      <name val="Times New Roman"/>
      <family val="1"/>
      <charset val="163"/>
    </font>
    <font>
      <b/>
      <sz val="12"/>
      <color indexed="10"/>
      <name val="Times New Roman"/>
      <family val="1"/>
    </font>
    <font>
      <sz val="11"/>
      <color indexed="8"/>
      <name val="Arial"/>
      <family val="2"/>
      <charset val="163"/>
    </font>
    <font>
      <sz val="11"/>
      <color indexed="9"/>
      <name val="Arial"/>
      <family val="2"/>
      <charset val="163"/>
    </font>
    <font>
      <sz val="11"/>
      <color indexed="20"/>
      <name val="Arial"/>
      <family val="2"/>
      <charset val="163"/>
    </font>
    <font>
      <b/>
      <sz val="11"/>
      <color indexed="52"/>
      <name val="Arial"/>
      <family val="2"/>
      <charset val="163"/>
    </font>
    <font>
      <b/>
      <sz val="11"/>
      <color indexed="9"/>
      <name val="Arial"/>
      <family val="2"/>
      <charset val="163"/>
    </font>
    <font>
      <i/>
      <sz val="11"/>
      <color indexed="23"/>
      <name val="Arial"/>
      <family val="2"/>
      <charset val="163"/>
    </font>
    <font>
      <sz val="11"/>
      <color indexed="17"/>
      <name val="Arial"/>
      <family val="2"/>
      <charset val="163"/>
    </font>
    <font>
      <b/>
      <sz val="11"/>
      <color indexed="56"/>
      <name val="Arial"/>
      <family val="2"/>
      <charset val="163"/>
    </font>
    <font>
      <sz val="11"/>
      <color indexed="62"/>
      <name val="Arial"/>
      <family val="2"/>
      <charset val="163"/>
    </font>
    <font>
      <sz val="11"/>
      <color indexed="52"/>
      <name val="Arial"/>
      <family val="2"/>
      <charset val="163"/>
    </font>
    <font>
      <sz val="11"/>
      <color indexed="60"/>
      <name val="Arial"/>
      <family val="2"/>
      <charset val="163"/>
    </font>
    <font>
      <b/>
      <sz val="11"/>
      <color indexed="63"/>
      <name val="Arial"/>
      <family val="2"/>
      <charset val="163"/>
    </font>
    <font>
      <b/>
      <sz val="18"/>
      <color indexed="56"/>
      <name val="Times New Roman"/>
      <family val="2"/>
      <charset val="163"/>
    </font>
    <font>
      <sz val="11"/>
      <color indexed="10"/>
      <name val="Arial"/>
      <family val="2"/>
      <charset val="163"/>
    </font>
    <font>
      <b/>
      <sz val="10"/>
      <color indexed="10"/>
      <name val="Times New Roman"/>
      <family val="1"/>
    </font>
    <font>
      <sz val="11"/>
      <color indexed="30"/>
      <name val="Times New Roman"/>
      <family val="1"/>
    </font>
    <font>
      <b/>
      <i/>
      <sz val="13"/>
      <color indexed="58"/>
      <name val="Times New Roman"/>
      <family val="1"/>
    </font>
    <font>
      <sz val="11"/>
      <color rgb="FFFF0000"/>
      <name val="Times New Roman"/>
      <family val="1"/>
    </font>
    <font>
      <sz val="10"/>
      <color indexed="8"/>
      <name val="Arial"/>
      <family val="2"/>
    </font>
    <font>
      <sz val="10"/>
      <name val="Times New Roman"/>
      <family val="1"/>
    </font>
    <font>
      <sz val="11"/>
      <color theme="1"/>
      <name val="Arial"/>
      <family val="2"/>
    </font>
    <font>
      <b/>
      <sz val="10"/>
      <name val="VNI-Centur"/>
      <family val="2"/>
    </font>
    <font>
      <sz val="1"/>
      <color indexed="8"/>
      <name val="Courier"/>
      <family val="3"/>
    </font>
    <font>
      <i/>
      <sz val="1"/>
      <color indexed="8"/>
      <name val="Courier"/>
      <family val="3"/>
    </font>
    <font>
      <sz val="12"/>
      <name val="Arial"/>
      <family val="2"/>
    </font>
    <font>
      <sz val="10"/>
      <name val="VNI-Centur"/>
      <family val="2"/>
    </font>
    <font>
      <sz val="10"/>
      <name val=" "/>
      <family val="1"/>
      <charset val="136"/>
    </font>
    <font>
      <sz val="12"/>
      <name val="바탕체"/>
      <family val="1"/>
      <charset val="129"/>
    </font>
    <font>
      <b/>
      <sz val="9"/>
      <name val="Arial"/>
      <family val="2"/>
    </font>
    <font>
      <sz val="11"/>
      <color indexed="8"/>
      <name val="Calibri"/>
      <family val="2"/>
    </font>
    <font>
      <sz val="10"/>
      <color indexed="8"/>
      <name val="ARIAL"/>
      <family val="2"/>
      <charset val="1"/>
    </font>
    <font>
      <sz val="11"/>
      <color indexed="8"/>
      <name val="Arial"/>
      <family val="2"/>
    </font>
    <font>
      <sz val="10"/>
      <name val="Arial"/>
      <family val="2"/>
      <charset val="163"/>
    </font>
    <font>
      <sz val="10"/>
      <name val="VNI-Avo"/>
    </font>
    <font>
      <sz val="11"/>
      <color rgb="FF00B050"/>
      <name val="Times New Roman"/>
      <family val="1"/>
    </font>
    <font>
      <b/>
      <vertAlign val="subscript"/>
      <sz val="11"/>
      <color indexed="8"/>
      <name val="Times New Roman"/>
      <family val="1"/>
    </font>
    <font>
      <sz val="11"/>
      <color indexed="8"/>
      <name val="VNI-Times"/>
    </font>
    <font>
      <b/>
      <sz val="20"/>
      <color indexed="58"/>
      <name val="Times New Roman"/>
      <family val="1"/>
    </font>
    <font>
      <b/>
      <u/>
      <sz val="12"/>
      <name val="Times New Roman"/>
      <family val="1"/>
    </font>
    <font>
      <i/>
      <sz val="13"/>
      <color indexed="58"/>
      <name val="Times New Roman"/>
      <family val="1"/>
    </font>
    <font>
      <sz val="12"/>
      <name val="VNI-Helve-Condense"/>
    </font>
    <font>
      <b/>
      <sz val="12"/>
      <name val="VNI-Helve-Condense"/>
    </font>
    <font>
      <b/>
      <u/>
      <sz val="10"/>
      <name val="VNI-Helve-Condense"/>
    </font>
    <font>
      <i/>
      <sz val="10"/>
      <name val="Times New Roman"/>
      <family val="1"/>
    </font>
    <font>
      <b/>
      <sz val="9"/>
      <name val="VNI-Helve-Condense"/>
    </font>
    <font>
      <sz val="9"/>
      <name val="VNI-Helve-Condense"/>
    </font>
    <font>
      <sz val="9"/>
      <name val="Times New Roman"/>
      <family val="1"/>
    </font>
    <font>
      <b/>
      <sz val="13"/>
      <color indexed="8"/>
      <name val="Times New Roman"/>
      <family val="1"/>
    </font>
    <font>
      <sz val="13"/>
      <color indexed="8"/>
      <name val="Times New Roman"/>
      <family val="1"/>
    </font>
    <font>
      <b/>
      <sz val="11"/>
      <name val="Times New Roman"/>
      <family val="1"/>
      <charset val="163"/>
    </font>
    <font>
      <b/>
      <sz val="9"/>
      <color indexed="81"/>
      <name val="Tahoma"/>
      <family val="2"/>
    </font>
    <font>
      <sz val="9"/>
      <color indexed="81"/>
      <name val="Tahoma"/>
      <family val="2"/>
    </font>
    <font>
      <b/>
      <sz val="9"/>
      <color indexed="81"/>
      <name val="Tahoma"/>
      <family val="2"/>
      <charset val="163"/>
    </font>
    <font>
      <b/>
      <sz val="11"/>
      <color rgb="FFFF0000"/>
      <name val="Times New Roman"/>
      <family val="1"/>
    </font>
    <font>
      <b/>
      <sz val="14"/>
      <color theme="1"/>
      <name val="Times New Roman"/>
      <family val="1"/>
    </font>
    <font>
      <sz val="12"/>
      <color theme="1"/>
      <name val="Times New Roman"/>
      <family val="1"/>
    </font>
    <font>
      <sz val="18"/>
      <color theme="1"/>
      <name val="Times New Roman"/>
      <family val="1"/>
    </font>
    <font>
      <b/>
      <sz val="10"/>
      <color theme="1"/>
      <name val="Times New Roman"/>
      <family val="1"/>
    </font>
    <font>
      <b/>
      <sz val="12"/>
      <color theme="1"/>
      <name val="Times New Roman"/>
      <family val="1"/>
    </font>
    <font>
      <b/>
      <vertAlign val="subscript"/>
      <sz val="12"/>
      <name val="Times New Roman"/>
      <family val="1"/>
    </font>
    <font>
      <i/>
      <sz val="12"/>
      <color theme="1"/>
      <name val="Times New Roman"/>
      <family val="1"/>
    </font>
    <font>
      <vertAlign val="subscript"/>
      <sz val="12"/>
      <name val="Times New Roman"/>
      <family val="1"/>
    </font>
    <font>
      <vertAlign val="subscript"/>
      <sz val="12"/>
      <color rgb="FF000000"/>
      <name val="Times New Roman"/>
      <family val="1"/>
    </font>
    <font>
      <sz val="14"/>
      <color theme="1"/>
      <name val="Times New Roman"/>
      <family val="1"/>
      <charset val="163"/>
    </font>
    <font>
      <vertAlign val="subscript"/>
      <sz val="11"/>
      <name val="Times New Roman"/>
      <family val="1"/>
    </font>
    <font>
      <vertAlign val="subscript"/>
      <sz val="11"/>
      <name val="Times New Roman"/>
      <family val="1"/>
      <charset val="163"/>
    </font>
    <font>
      <b/>
      <vertAlign val="subscript"/>
      <sz val="11"/>
      <name val="Times New Roman"/>
      <family val="1"/>
    </font>
    <font>
      <b/>
      <vertAlign val="subscript"/>
      <sz val="11"/>
      <name val="Times New Roman"/>
      <family val="1"/>
      <charset val="163"/>
    </font>
    <font>
      <sz val="11"/>
      <color rgb="FFFF0000"/>
      <name val="Calibri"/>
      <family val="2"/>
      <scheme val="minor"/>
    </font>
    <font>
      <sz val="11"/>
      <name val="Calibri"/>
      <family val="2"/>
      <scheme val="minor"/>
    </font>
    <font>
      <sz val="13"/>
      <color rgb="FFFF0000"/>
      <name val="Times New Roman"/>
      <family val="1"/>
    </font>
    <font>
      <sz val="10"/>
      <color rgb="FFFF0000"/>
      <name val="Times New Roman"/>
      <family val="1"/>
    </font>
    <font>
      <b/>
      <sz val="10"/>
      <color rgb="FFFF0000"/>
      <name val="Times New Roman"/>
      <family val="1"/>
    </font>
    <font>
      <sz val="11"/>
      <color theme="1"/>
      <name val="Times New Roman"/>
      <family val="1"/>
    </font>
    <font>
      <b/>
      <sz val="11"/>
      <color theme="1"/>
      <name val="Times New Roman"/>
      <family val="1"/>
    </font>
    <font>
      <b/>
      <sz val="16"/>
      <color theme="1"/>
      <name val="Times New Roman"/>
      <family val="1"/>
    </font>
    <font>
      <sz val="10"/>
      <color theme="1"/>
      <name val="Times New Roman"/>
      <family val="1"/>
    </font>
    <font>
      <i/>
      <sz val="10"/>
      <color theme="1"/>
      <name val="Times New Roman"/>
      <family val="1"/>
    </font>
    <font>
      <sz val="12"/>
      <color rgb="FFFF0000"/>
      <name val="Times New Roman"/>
      <family val="1"/>
    </font>
    <font>
      <sz val="13"/>
      <color theme="1"/>
      <name val="Times New Roman"/>
      <family val="1"/>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31"/>
        <bgColor indexed="64"/>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3"/>
        <bgColor indexed="64"/>
      </patternFill>
    </fill>
    <fill>
      <patternFill patternType="solid">
        <fgColor indexed="42"/>
        <bgColor indexed="64"/>
      </patternFill>
    </fill>
    <fill>
      <patternFill patternType="solid">
        <fgColor indexed="27"/>
        <bgColor indexed="64"/>
      </patternFill>
    </fill>
    <fill>
      <patternFill patternType="solid">
        <fgColor rgb="FFFFFF00"/>
        <bgColor indexed="64"/>
      </patternFill>
    </fill>
    <fill>
      <patternFill patternType="solid">
        <fgColor theme="0"/>
        <bgColor indexed="64"/>
      </patternFill>
    </fill>
    <fill>
      <patternFill patternType="solid">
        <fgColor indexed="5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FF"/>
        <bgColor indexed="64"/>
      </patternFill>
    </fill>
    <fill>
      <patternFill patternType="solid">
        <fgColor theme="4"/>
        <bgColor indexed="64"/>
      </patternFill>
    </fill>
    <fill>
      <patternFill patternType="solid">
        <fgColor theme="3" tint="0.59999389629810485"/>
        <bgColor indexed="64"/>
      </patternFill>
    </fill>
    <fill>
      <patternFill patternType="solid">
        <fgColor rgb="FFFFC000"/>
        <bgColor indexed="64"/>
      </patternFill>
    </fill>
  </fills>
  <borders count="106">
    <border>
      <left/>
      <right/>
      <top/>
      <bottom/>
      <diagonal/>
    </border>
    <border>
      <left style="thin">
        <color indexed="64"/>
      </left>
      <right style="thin">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uble">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thin">
        <color indexed="64"/>
      </top>
      <bottom/>
      <diagonal/>
    </border>
    <border>
      <left/>
      <right/>
      <top/>
      <bottom style="hair">
        <color indexed="64"/>
      </bottom>
      <diagonal/>
    </border>
    <border>
      <left/>
      <right style="thin">
        <color indexed="64"/>
      </right>
      <top/>
      <bottom/>
      <diagonal/>
    </border>
    <border>
      <left style="thin">
        <color indexed="64"/>
      </left>
      <right style="double">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right/>
      <top/>
      <bottom style="thin">
        <color indexed="64"/>
      </bottom>
      <diagonal/>
    </border>
    <border>
      <left style="double">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12"/>
      </right>
      <top/>
      <bottom/>
      <diagonal/>
    </border>
    <border>
      <left style="thin">
        <color indexed="8"/>
      </left>
      <right/>
      <top style="thin">
        <color indexed="8"/>
      </top>
      <bottom style="thin">
        <color indexed="8"/>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hair">
        <color indexed="64"/>
      </left>
      <right style="hair">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otted">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double">
        <color indexed="64"/>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right style="thin">
        <color auto="1"/>
      </right>
      <top style="hair">
        <color auto="1"/>
      </top>
      <bottom style="hair">
        <color auto="1"/>
      </bottom>
      <diagonal/>
    </border>
    <border>
      <left style="thin">
        <color auto="1"/>
      </left>
      <right/>
      <top style="hair">
        <color auto="1"/>
      </top>
      <bottom style="thin">
        <color indexed="64"/>
      </bottom>
      <diagonal/>
    </border>
    <border>
      <left style="hair">
        <color indexed="64"/>
      </left>
      <right style="hair">
        <color indexed="64"/>
      </right>
      <top style="hair">
        <color indexed="64"/>
      </top>
      <bottom/>
      <diagonal/>
    </border>
  </borders>
  <cellStyleXfs count="4104">
    <xf numFmtId="0" fontId="0" fillId="0" borderId="0"/>
    <xf numFmtId="194" fontId="16" fillId="0" borderId="0" applyFont="0" applyFill="0" applyBorder="0" applyAlignment="0" applyProtection="0"/>
    <xf numFmtId="202" fontId="24" fillId="0" borderId="0" applyFont="0" applyFill="0" applyBorder="0" applyAlignment="0" applyProtection="0"/>
    <xf numFmtId="175" fontId="14" fillId="0" borderId="0" applyFont="0" applyFill="0" applyBorder="0" applyAlignment="0" applyProtection="0"/>
    <xf numFmtId="201" fontId="24" fillId="0" borderId="0" applyFont="0" applyFill="0" applyBorder="0" applyAlignment="0" applyProtection="0"/>
    <xf numFmtId="0" fontId="16" fillId="0" borderId="0">
      <alignment vertical="top"/>
    </xf>
    <xf numFmtId="185" fontId="61" fillId="0" borderId="0" applyFont="0" applyFill="0" applyBorder="0" applyAlignment="0" applyProtection="0"/>
    <xf numFmtId="184" fontId="61" fillId="0" borderId="0" applyFont="0" applyFill="0" applyBorder="0" applyAlignment="0" applyProtection="0"/>
    <xf numFmtId="166" fontId="42" fillId="0" borderId="0" applyFont="0" applyFill="0" applyBorder="0" applyAlignment="0" applyProtection="0"/>
    <xf numFmtId="9" fontId="15" fillId="0" borderId="0" applyFont="0" applyFill="0" applyBorder="0" applyAlignment="0" applyProtection="0"/>
    <xf numFmtId="0" fontId="14" fillId="0" borderId="0"/>
    <xf numFmtId="0" fontId="14" fillId="0" borderId="0"/>
    <xf numFmtId="0" fontId="14" fillId="0" borderId="0"/>
    <xf numFmtId="224" fontId="16" fillId="0" borderId="0" applyFill="0" applyBorder="0" applyAlignment="0" applyProtection="0"/>
    <xf numFmtId="0" fontId="62" fillId="0" borderId="0" applyFont="0" applyFill="0" applyBorder="0" applyAlignment="0" applyProtection="0"/>
    <xf numFmtId="224" fontId="16" fillId="0" borderId="0" applyFill="0" applyBorder="0" applyAlignment="0" applyProtection="0"/>
    <xf numFmtId="225" fontId="16" fillId="0" borderId="0" applyFill="0" applyBorder="0" applyAlignment="0" applyProtection="0"/>
    <xf numFmtId="226" fontId="16" fillId="0" borderId="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204" fontId="14" fillId="0" borderId="0" applyFont="0" applyFill="0" applyBorder="0" applyAlignment="0" applyProtection="0"/>
    <xf numFmtId="195"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74" fontId="16"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74" fontId="16" fillId="0" borderId="0" applyFont="0" applyFill="0" applyBorder="0" applyAlignment="0" applyProtection="0"/>
    <xf numFmtId="180" fontId="16"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227" fontId="16" fillId="0" borderId="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28" fontId="16" fillId="0" borderId="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95" fontId="14" fillId="0" borderId="0" applyFont="0" applyFill="0" applyBorder="0" applyAlignment="0" applyProtection="0"/>
    <xf numFmtId="165" fontId="14" fillId="0" borderId="0" applyFont="0" applyFill="0" applyBorder="0" applyAlignment="0" applyProtection="0"/>
    <xf numFmtId="195" fontId="14" fillId="0" borderId="0" applyFont="0" applyFill="0" applyBorder="0" applyAlignment="0" applyProtection="0"/>
    <xf numFmtId="42"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227" fontId="16" fillId="0" borderId="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29" fontId="16" fillId="0" borderId="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2" fontId="14" fillId="0" borderId="0" applyFont="0" applyFill="0" applyBorder="0" applyAlignment="0" applyProtection="0"/>
    <xf numFmtId="165" fontId="14" fillId="0" borderId="0" applyFont="0" applyFill="0" applyBorder="0" applyAlignment="0" applyProtection="0"/>
    <xf numFmtId="42" fontId="14" fillId="0" borderId="0" applyFont="0" applyFill="0" applyBorder="0" applyAlignment="0" applyProtection="0"/>
    <xf numFmtId="204"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227" fontId="16" fillId="0" borderId="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28" fontId="16" fillId="0" borderId="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95" fontId="14" fillId="0" borderId="0" applyFont="0" applyFill="0" applyBorder="0" applyAlignment="0" applyProtection="0"/>
    <xf numFmtId="165" fontId="14" fillId="0" borderId="0" applyFont="0" applyFill="0" applyBorder="0" applyAlignment="0" applyProtection="0"/>
    <xf numFmtId="195" fontId="14" fillId="0" borderId="0" applyFont="0" applyFill="0" applyBorder="0" applyAlignment="0" applyProtection="0"/>
    <xf numFmtId="227" fontId="16" fillId="0" borderId="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29" fontId="16" fillId="0" borderId="0" applyFill="0" applyBorder="0" applyAlignment="0" applyProtection="0"/>
    <xf numFmtId="165" fontId="14"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2" fontId="14"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65" fontId="14" fillId="0" borderId="0" applyFont="0" applyFill="0" applyBorder="0" applyAlignment="0" applyProtection="0"/>
    <xf numFmtId="174" fontId="16" fillId="0" borderId="0" applyFont="0" applyFill="0" applyBorder="0" applyAlignment="0" applyProtection="0"/>
    <xf numFmtId="42" fontId="14" fillId="0" borderId="0" applyFont="0" applyFill="0" applyBorder="0" applyAlignment="0" applyProtection="0"/>
    <xf numFmtId="204"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79" fontId="16"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230" fontId="16" fillId="0" borderId="0" applyFill="0" applyBorder="0" applyAlignment="0" applyProtection="0"/>
    <xf numFmtId="230" fontId="16" fillId="0" borderId="0" applyFill="0" applyBorder="0" applyAlignment="0" applyProtection="0"/>
    <xf numFmtId="231" fontId="14" fillId="0" borderId="0" applyFont="0" applyFill="0" applyBorder="0" applyAlignment="0" applyProtection="0"/>
    <xf numFmtId="231" fontId="14" fillId="0" borderId="0" applyFont="0" applyFill="0" applyBorder="0" applyAlignment="0" applyProtection="0"/>
    <xf numFmtId="179"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6" fillId="0" borderId="0" applyFont="0" applyFill="0" applyBorder="0" applyAlignment="0" applyProtection="0"/>
    <xf numFmtId="220" fontId="16" fillId="0" borderId="0" applyFont="0" applyFill="0" applyBorder="0" applyAlignment="0" applyProtection="0"/>
    <xf numFmtId="220" fontId="16" fillId="0" borderId="0" applyFont="0" applyFill="0" applyBorder="0" applyAlignment="0" applyProtection="0"/>
    <xf numFmtId="232" fontId="16" fillId="0" borderId="0" applyFill="0" applyBorder="0" applyAlignment="0" applyProtection="0"/>
    <xf numFmtId="232" fontId="16" fillId="0" borderId="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179" fontId="16" fillId="0" borderId="0" applyFont="0" applyFill="0" applyBorder="0" applyAlignment="0" applyProtection="0"/>
    <xf numFmtId="179" fontId="16" fillId="0" borderId="0" applyFont="0" applyFill="0" applyBorder="0" applyAlignment="0" applyProtection="0"/>
    <xf numFmtId="194" fontId="16" fillId="0" borderId="0" applyFont="0" applyFill="0" applyBorder="0" applyAlignment="0" applyProtection="0"/>
    <xf numFmtId="194" fontId="16" fillId="0" borderId="0" applyFont="0" applyFill="0" applyBorder="0" applyAlignment="0" applyProtection="0"/>
    <xf numFmtId="179"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234"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17" fontId="16"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17" fontId="16" fillId="0" borderId="0" applyFont="0" applyFill="0" applyBorder="0" applyAlignment="0" applyProtection="0"/>
    <xf numFmtId="217" fontId="16" fillId="0" borderId="0" applyFont="0" applyFill="0" applyBorder="0" applyAlignment="0" applyProtection="0"/>
    <xf numFmtId="217" fontId="16"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15" fontId="14" fillId="0" borderId="0" applyFont="0" applyFill="0" applyBorder="0" applyAlignment="0" applyProtection="0"/>
    <xf numFmtId="215"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234"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234"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79"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95"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74" fontId="16"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74" fontId="16" fillId="0" borderId="0" applyFont="0" applyFill="0" applyBorder="0" applyAlignment="0" applyProtection="0"/>
    <xf numFmtId="180" fontId="16"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227" fontId="16" fillId="0" borderId="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28" fontId="16" fillId="0" borderId="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95" fontId="14" fillId="0" borderId="0" applyFont="0" applyFill="0" applyBorder="0" applyAlignment="0" applyProtection="0"/>
    <xf numFmtId="165" fontId="14" fillId="0" borderId="0" applyFont="0" applyFill="0" applyBorder="0" applyAlignment="0" applyProtection="0"/>
    <xf numFmtId="195" fontId="14" fillId="0" borderId="0" applyFont="0" applyFill="0" applyBorder="0" applyAlignment="0" applyProtection="0"/>
    <xf numFmtId="42"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227" fontId="16" fillId="0" borderId="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29" fontId="16" fillId="0" borderId="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2" fontId="14" fillId="0" borderId="0" applyFont="0" applyFill="0" applyBorder="0" applyAlignment="0" applyProtection="0"/>
    <xf numFmtId="165" fontId="14" fillId="0" borderId="0" applyFont="0" applyFill="0" applyBorder="0" applyAlignment="0" applyProtection="0"/>
    <xf numFmtId="42" fontId="14" fillId="0" borderId="0" applyFont="0" applyFill="0" applyBorder="0" applyAlignment="0" applyProtection="0"/>
    <xf numFmtId="204"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227" fontId="16" fillId="0" borderId="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28" fontId="16" fillId="0" borderId="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95" fontId="14" fillId="0" borderId="0" applyFont="0" applyFill="0" applyBorder="0" applyAlignment="0" applyProtection="0"/>
    <xf numFmtId="165" fontId="14" fillId="0" borderId="0" applyFont="0" applyFill="0" applyBorder="0" applyAlignment="0" applyProtection="0"/>
    <xf numFmtId="195" fontId="14" fillId="0" borderId="0" applyFont="0" applyFill="0" applyBorder="0" applyAlignment="0" applyProtection="0"/>
    <xf numFmtId="227" fontId="16" fillId="0" borderId="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29" fontId="16" fillId="0" borderId="0" applyFill="0" applyBorder="0" applyAlignment="0" applyProtection="0"/>
    <xf numFmtId="165" fontId="14"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2" fontId="14"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65" fontId="14" fillId="0" borderId="0" applyFont="0" applyFill="0" applyBorder="0" applyAlignment="0" applyProtection="0"/>
    <xf numFmtId="174" fontId="16" fillId="0" borderId="0" applyFont="0" applyFill="0" applyBorder="0" applyAlignment="0" applyProtection="0"/>
    <xf numFmtId="42" fontId="14" fillId="0" borderId="0" applyFont="0" applyFill="0" applyBorder="0" applyAlignment="0" applyProtection="0"/>
    <xf numFmtId="204"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230" fontId="16" fillId="0" borderId="0" applyFill="0" applyBorder="0" applyAlignment="0" applyProtection="0"/>
    <xf numFmtId="230" fontId="16" fillId="0" borderId="0" applyFill="0" applyBorder="0" applyAlignment="0" applyProtection="0"/>
    <xf numFmtId="231" fontId="14" fillId="0" borderId="0" applyFont="0" applyFill="0" applyBorder="0" applyAlignment="0" applyProtection="0"/>
    <xf numFmtId="231" fontId="14" fillId="0" borderId="0" applyFont="0" applyFill="0" applyBorder="0" applyAlignment="0" applyProtection="0"/>
    <xf numFmtId="179"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229" fontId="16" fillId="0" borderId="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42" fontId="14" fillId="0" borderId="0" applyFont="0" applyFill="0" applyBorder="0" applyAlignment="0" applyProtection="0"/>
    <xf numFmtId="179"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74"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8" fontId="16" fillId="0" borderId="0" applyFont="0" applyFill="0" applyBorder="0" applyAlignment="0" applyProtection="0"/>
    <xf numFmtId="218" fontId="16"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236" fontId="16" fillId="0" borderId="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8" fontId="16" fillId="0" borderId="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16" fontId="14" fillId="0" borderId="0" applyFont="0" applyFill="0" applyBorder="0" applyAlignment="0" applyProtection="0"/>
    <xf numFmtId="237"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36" fontId="16" fillId="0" borderId="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8" fontId="16" fillId="0" borderId="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16" fontId="14" fillId="0" borderId="0" applyFont="0" applyFill="0" applyBorder="0" applyAlignment="0" applyProtection="0"/>
    <xf numFmtId="237" fontId="14" fillId="0" borderId="0" applyFont="0" applyFill="0" applyBorder="0" applyAlignment="0" applyProtection="0"/>
    <xf numFmtId="216" fontId="14" fillId="0" borderId="0" applyFont="0" applyFill="0" applyBorder="0" applyAlignment="0" applyProtection="0"/>
    <xf numFmtId="174" fontId="14" fillId="0" borderId="0" applyFont="0" applyFill="0" applyBorder="0" applyAlignment="0" applyProtection="0"/>
    <xf numFmtId="213" fontId="16" fillId="0" borderId="0" applyFont="0" applyFill="0" applyBorder="0" applyAlignment="0" applyProtection="0"/>
    <xf numFmtId="213" fontId="16"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204" fontId="14" fillId="0" borderId="0" applyFont="0" applyFill="0" applyBorder="0" applyAlignment="0" applyProtection="0"/>
    <xf numFmtId="179" fontId="14" fillId="0" borderId="0" applyFont="0" applyFill="0" applyBorder="0" applyAlignment="0" applyProtection="0"/>
    <xf numFmtId="204"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42"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234"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17" fontId="16"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17" fontId="16" fillId="0" borderId="0" applyFont="0" applyFill="0" applyBorder="0" applyAlignment="0" applyProtection="0"/>
    <xf numFmtId="217" fontId="16" fillId="0" borderId="0" applyFont="0" applyFill="0" applyBorder="0" applyAlignment="0" applyProtection="0"/>
    <xf numFmtId="217" fontId="16"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15" fontId="14" fillId="0" borderId="0" applyFont="0" applyFill="0" applyBorder="0" applyAlignment="0" applyProtection="0"/>
    <xf numFmtId="215"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234"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234"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4" fontId="14" fillId="0" borderId="0" applyFont="0" applyFill="0" applyBorder="0" applyAlignment="0" applyProtection="0"/>
    <xf numFmtId="184"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239"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84"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84" fontId="14"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241" fontId="16" fillId="0" borderId="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242" fontId="16" fillId="0" borderId="0" applyFill="0" applyBorder="0" applyAlignment="0" applyProtection="0"/>
    <xf numFmtId="167" fontId="16"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44" fontId="16"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167" fontId="16" fillId="0" borderId="0" applyFont="0" applyFill="0" applyBorder="0" applyAlignment="0" applyProtection="0"/>
    <xf numFmtId="175" fontId="16" fillId="0" borderId="0" applyFont="0" applyFill="0" applyBorder="0" applyAlignment="0" applyProtection="0"/>
    <xf numFmtId="44" fontId="16"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14" fontId="14" fillId="0" borderId="0" applyFont="0" applyFill="0" applyBorder="0" applyAlignment="0" applyProtection="0"/>
    <xf numFmtId="214"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84" fontId="14" fillId="0" borderId="0" applyFont="0" applyFill="0" applyBorder="0" applyAlignment="0" applyProtection="0"/>
    <xf numFmtId="184"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239"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239"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95"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74" fontId="16"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74" fontId="16" fillId="0" borderId="0" applyFont="0" applyFill="0" applyBorder="0" applyAlignment="0" applyProtection="0"/>
    <xf numFmtId="180" fontId="16"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227" fontId="16" fillId="0" borderId="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28" fontId="16" fillId="0" borderId="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95" fontId="14" fillId="0" borderId="0" applyFont="0" applyFill="0" applyBorder="0" applyAlignment="0" applyProtection="0"/>
    <xf numFmtId="165" fontId="14" fillId="0" borderId="0" applyFont="0" applyFill="0" applyBorder="0" applyAlignment="0" applyProtection="0"/>
    <xf numFmtId="195" fontId="14" fillId="0" borderId="0" applyFont="0" applyFill="0" applyBorder="0" applyAlignment="0" applyProtection="0"/>
    <xf numFmtId="42"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227" fontId="16" fillId="0" borderId="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29" fontId="16" fillId="0" borderId="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2" fontId="14" fillId="0" borderId="0" applyFont="0" applyFill="0" applyBorder="0" applyAlignment="0" applyProtection="0"/>
    <xf numFmtId="165" fontId="14" fillId="0" borderId="0" applyFont="0" applyFill="0" applyBorder="0" applyAlignment="0" applyProtection="0"/>
    <xf numFmtId="42" fontId="14" fillId="0" borderId="0" applyFont="0" applyFill="0" applyBorder="0" applyAlignment="0" applyProtection="0"/>
    <xf numFmtId="204"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227" fontId="16" fillId="0" borderId="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28" fontId="16" fillId="0" borderId="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95" fontId="14" fillId="0" borderId="0" applyFont="0" applyFill="0" applyBorder="0" applyAlignment="0" applyProtection="0"/>
    <xf numFmtId="165" fontId="14" fillId="0" borderId="0" applyFont="0" applyFill="0" applyBorder="0" applyAlignment="0" applyProtection="0"/>
    <xf numFmtId="195" fontId="14" fillId="0" borderId="0" applyFont="0" applyFill="0" applyBorder="0" applyAlignment="0" applyProtection="0"/>
    <xf numFmtId="227" fontId="16" fillId="0" borderId="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29" fontId="16" fillId="0" borderId="0" applyFill="0" applyBorder="0" applyAlignment="0" applyProtection="0"/>
    <xf numFmtId="165" fontId="14"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2" fontId="14"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65" fontId="14" fillId="0" borderId="0" applyFont="0" applyFill="0" applyBorder="0" applyAlignment="0" applyProtection="0"/>
    <xf numFmtId="174" fontId="16" fillId="0" borderId="0" applyFont="0" applyFill="0" applyBorder="0" applyAlignment="0" applyProtection="0"/>
    <xf numFmtId="42" fontId="14" fillId="0" borderId="0" applyFont="0" applyFill="0" applyBorder="0" applyAlignment="0" applyProtection="0"/>
    <xf numFmtId="204"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230" fontId="16" fillId="0" borderId="0" applyFill="0" applyBorder="0" applyAlignment="0" applyProtection="0"/>
    <xf numFmtId="230" fontId="16" fillId="0" borderId="0" applyFill="0" applyBorder="0" applyAlignment="0" applyProtection="0"/>
    <xf numFmtId="231" fontId="14" fillId="0" borderId="0" applyFont="0" applyFill="0" applyBorder="0" applyAlignment="0" applyProtection="0"/>
    <xf numFmtId="231" fontId="14" fillId="0" borderId="0" applyFont="0" applyFill="0" applyBorder="0" applyAlignment="0" applyProtection="0"/>
    <xf numFmtId="179"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229" fontId="16" fillId="0" borderId="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42" fontId="14" fillId="0" borderId="0" applyFont="0" applyFill="0" applyBorder="0" applyAlignment="0" applyProtection="0"/>
    <xf numFmtId="179"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74"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8" fontId="16" fillId="0" borderId="0" applyFont="0" applyFill="0" applyBorder="0" applyAlignment="0" applyProtection="0"/>
    <xf numFmtId="218" fontId="16"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236" fontId="16" fillId="0" borderId="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8" fontId="16" fillId="0" borderId="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16" fontId="14" fillId="0" borderId="0" applyFont="0" applyFill="0" applyBorder="0" applyAlignment="0" applyProtection="0"/>
    <xf numFmtId="237"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36" fontId="16" fillId="0" borderId="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8" fontId="16" fillId="0" borderId="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16" fontId="14" fillId="0" borderId="0" applyFont="0" applyFill="0" applyBorder="0" applyAlignment="0" applyProtection="0"/>
    <xf numFmtId="237" fontId="14" fillId="0" borderId="0" applyFont="0" applyFill="0" applyBorder="0" applyAlignment="0" applyProtection="0"/>
    <xf numFmtId="216" fontId="14" fillId="0" borderId="0" applyFont="0" applyFill="0" applyBorder="0" applyAlignment="0" applyProtection="0"/>
    <xf numFmtId="174" fontId="14" fillId="0" borderId="0" applyFont="0" applyFill="0" applyBorder="0" applyAlignment="0" applyProtection="0"/>
    <xf numFmtId="213" fontId="16" fillId="0" borderId="0" applyFont="0" applyFill="0" applyBorder="0" applyAlignment="0" applyProtection="0"/>
    <xf numFmtId="213" fontId="16"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204" fontId="14" fillId="0" borderId="0" applyFont="0" applyFill="0" applyBorder="0" applyAlignment="0" applyProtection="0"/>
    <xf numFmtId="179" fontId="14" fillId="0" borderId="0" applyFont="0" applyFill="0" applyBorder="0" applyAlignment="0" applyProtection="0"/>
    <xf numFmtId="204"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42" fontId="14" fillId="0" borderId="0" applyFont="0" applyFill="0" applyBorder="0" applyAlignment="0" applyProtection="0"/>
    <xf numFmtId="168" fontId="16"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4" fontId="14" fillId="0" borderId="0" applyFont="0" applyFill="0" applyBorder="0" applyAlignment="0" applyProtection="0"/>
    <xf numFmtId="184"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239"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84"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84" fontId="14"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241" fontId="16" fillId="0" borderId="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242" fontId="16" fillId="0" borderId="0" applyFill="0" applyBorder="0" applyAlignment="0" applyProtection="0"/>
    <xf numFmtId="167" fontId="16"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44" fontId="16"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167" fontId="16" fillId="0" borderId="0" applyFont="0" applyFill="0" applyBorder="0" applyAlignment="0" applyProtection="0"/>
    <xf numFmtId="175" fontId="16" fillId="0" borderId="0" applyFont="0" applyFill="0" applyBorder="0" applyAlignment="0" applyProtection="0"/>
    <xf numFmtId="44" fontId="16"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14" fontId="14" fillId="0" borderId="0" applyFont="0" applyFill="0" applyBorder="0" applyAlignment="0" applyProtection="0"/>
    <xf numFmtId="214"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84" fontId="14" fillId="0" borderId="0" applyFont="0" applyFill="0" applyBorder="0" applyAlignment="0" applyProtection="0"/>
    <xf numFmtId="184"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239"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239"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234"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17" fontId="16"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17" fontId="16" fillId="0" borderId="0" applyFont="0" applyFill="0" applyBorder="0" applyAlignment="0" applyProtection="0"/>
    <xf numFmtId="217" fontId="16" fillId="0" borderId="0" applyFont="0" applyFill="0" applyBorder="0" applyAlignment="0" applyProtection="0"/>
    <xf numFmtId="217" fontId="16"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15" fontId="14" fillId="0" borderId="0" applyFont="0" applyFill="0" applyBorder="0" applyAlignment="0" applyProtection="0"/>
    <xf numFmtId="215"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234"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234"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223" fontId="16"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79" fontId="16" fillId="0" borderId="0" applyFont="0" applyFill="0" applyBorder="0" applyAlignment="0" applyProtection="0"/>
    <xf numFmtId="220" fontId="16" fillId="0" borderId="0" applyFont="0" applyFill="0" applyBorder="0" applyAlignment="0" applyProtection="0"/>
    <xf numFmtId="220" fontId="16" fillId="0" borderId="0" applyFont="0" applyFill="0" applyBorder="0" applyAlignment="0" applyProtection="0"/>
    <xf numFmtId="232" fontId="16" fillId="0" borderId="0" applyFill="0" applyBorder="0" applyAlignment="0" applyProtection="0"/>
    <xf numFmtId="232" fontId="16" fillId="0" borderId="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179" fontId="16" fillId="0" borderId="0" applyFont="0" applyFill="0" applyBorder="0" applyAlignment="0" applyProtection="0"/>
    <xf numFmtId="179" fontId="16" fillId="0" borderId="0" applyFont="0" applyFill="0" applyBorder="0" applyAlignment="0" applyProtection="0"/>
    <xf numFmtId="194" fontId="16" fillId="0" borderId="0" applyFont="0" applyFill="0" applyBorder="0" applyAlignment="0" applyProtection="0"/>
    <xf numFmtId="194" fontId="16" fillId="0" borderId="0" applyFont="0" applyFill="0" applyBorder="0" applyAlignment="0" applyProtection="0"/>
    <xf numFmtId="179" fontId="16" fillId="0" borderId="0" applyFont="0" applyFill="0" applyBorder="0" applyAlignment="0" applyProtection="0"/>
    <xf numFmtId="168" fontId="16" fillId="0" borderId="0" applyFont="0" applyFill="0" applyBorder="0" applyAlignment="0" applyProtection="0"/>
    <xf numFmtId="179"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229" fontId="16" fillId="0" borderId="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42" fontId="14" fillId="0" borderId="0" applyFont="0" applyFill="0" applyBorder="0" applyAlignment="0" applyProtection="0"/>
    <xf numFmtId="179"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74"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8" fontId="16" fillId="0" borderId="0" applyFont="0" applyFill="0" applyBorder="0" applyAlignment="0" applyProtection="0"/>
    <xf numFmtId="218" fontId="16"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236" fontId="16" fillId="0" borderId="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8" fontId="16" fillId="0" borderId="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16" fontId="14" fillId="0" borderId="0" applyFont="0" applyFill="0" applyBorder="0" applyAlignment="0" applyProtection="0"/>
    <xf numFmtId="237"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36" fontId="16" fillId="0" borderId="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16"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8" fontId="16" fillId="0" borderId="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16" fontId="14" fillId="0" borderId="0" applyFont="0" applyFill="0" applyBorder="0" applyAlignment="0" applyProtection="0"/>
    <xf numFmtId="237" fontId="14" fillId="0" borderId="0" applyFont="0" applyFill="0" applyBorder="0" applyAlignment="0" applyProtection="0"/>
    <xf numFmtId="216" fontId="14" fillId="0" borderId="0" applyFont="0" applyFill="0" applyBorder="0" applyAlignment="0" applyProtection="0"/>
    <xf numFmtId="174" fontId="14" fillId="0" borderId="0" applyFont="0" applyFill="0" applyBorder="0" applyAlignment="0" applyProtection="0"/>
    <xf numFmtId="213" fontId="16" fillId="0" borderId="0" applyFont="0" applyFill="0" applyBorder="0" applyAlignment="0" applyProtection="0"/>
    <xf numFmtId="213" fontId="16"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204" fontId="14" fillId="0" borderId="0" applyFont="0" applyFill="0" applyBorder="0" applyAlignment="0" applyProtection="0"/>
    <xf numFmtId="179"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66" fontId="16"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4" fontId="14" fillId="0" borderId="0" applyFont="0" applyFill="0" applyBorder="0" applyAlignment="0" applyProtection="0"/>
    <xf numFmtId="184"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239"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84"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84" fontId="14"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241" fontId="16" fillId="0" borderId="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242" fontId="16" fillId="0" borderId="0" applyFill="0" applyBorder="0" applyAlignment="0" applyProtection="0"/>
    <xf numFmtId="167" fontId="16"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44" fontId="16"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167" fontId="16" fillId="0" borderId="0" applyFont="0" applyFill="0" applyBorder="0" applyAlignment="0" applyProtection="0"/>
    <xf numFmtId="175" fontId="16" fillId="0" borderId="0" applyFont="0" applyFill="0" applyBorder="0" applyAlignment="0" applyProtection="0"/>
    <xf numFmtId="44" fontId="16"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14" fontId="14" fillId="0" borderId="0" applyFont="0" applyFill="0" applyBorder="0" applyAlignment="0" applyProtection="0"/>
    <xf numFmtId="214"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84" fontId="14" fillId="0" borderId="0" applyFont="0" applyFill="0" applyBorder="0" applyAlignment="0" applyProtection="0"/>
    <xf numFmtId="184"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222" fontId="16" fillId="0" borderId="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170" fontId="14" fillId="0" borderId="0" applyFont="0" applyFill="0" applyBorder="0" applyAlignment="0" applyProtection="0"/>
    <xf numFmtId="41" fontId="14" fillId="0" borderId="0" applyFont="0" applyFill="0" applyBorder="0" applyAlignment="0" applyProtection="0"/>
    <xf numFmtId="239"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92"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41"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18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3"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185"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217" fontId="16" fillId="0" borderId="0" applyFont="0" applyFill="0" applyBorder="0" applyAlignment="0" applyProtection="0"/>
    <xf numFmtId="217" fontId="16" fillId="0" borderId="0" applyFont="0" applyFill="0" applyBorder="0" applyAlignment="0" applyProtection="0"/>
    <xf numFmtId="205" fontId="14" fillId="0" borderId="0" applyFont="0" applyFill="0" applyBorder="0" applyAlignment="0" applyProtection="0"/>
    <xf numFmtId="168" fontId="14" fillId="0" borderId="0" applyFont="0" applyFill="0" applyBorder="0" applyAlignment="0" applyProtection="0"/>
    <xf numFmtId="215" fontId="14" fillId="0" borderId="0" applyFont="0" applyFill="0" applyBorder="0" applyAlignment="0" applyProtection="0"/>
    <xf numFmtId="185"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3" fontId="14" fillId="0" borderId="0" applyFont="0" applyFill="0" applyBorder="0" applyAlignment="0" applyProtection="0"/>
    <xf numFmtId="193"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3"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43" fontId="14" fillId="0" borderId="0" applyFont="0" applyFill="0" applyBorder="0" applyAlignment="0" applyProtection="0"/>
    <xf numFmtId="179" fontId="16" fillId="0" borderId="0" applyFont="0" applyFill="0" applyBorder="0" applyAlignment="0" applyProtection="0"/>
    <xf numFmtId="220" fontId="16" fillId="0" borderId="0" applyFont="0" applyFill="0" applyBorder="0" applyAlignment="0" applyProtection="0"/>
    <xf numFmtId="179" fontId="16" fillId="0" borderId="0" applyFont="0" applyFill="0" applyBorder="0" applyAlignment="0" applyProtection="0"/>
    <xf numFmtId="194" fontId="16" fillId="0" borderId="0" applyFont="0" applyFill="0" applyBorder="0" applyAlignment="0" applyProtection="0"/>
    <xf numFmtId="168" fontId="16"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0" fontId="24" fillId="0" borderId="0"/>
    <xf numFmtId="9" fontId="17" fillId="0" borderId="0" applyBorder="0" applyAlignment="0" applyProtection="0"/>
    <xf numFmtId="0" fontId="84" fillId="2" borderId="0" applyNumberFormat="0" applyBorder="0" applyAlignment="0" applyProtection="0"/>
    <xf numFmtId="0" fontId="84" fillId="3" borderId="0" applyNumberFormat="0" applyBorder="0" applyAlignment="0" applyProtection="0"/>
    <xf numFmtId="0" fontId="84" fillId="4" borderId="0" applyNumberFormat="0" applyBorder="0" applyAlignment="0" applyProtection="0"/>
    <xf numFmtId="0" fontId="84" fillId="5" borderId="0" applyNumberFormat="0" applyBorder="0" applyAlignment="0" applyProtection="0"/>
    <xf numFmtId="0" fontId="84" fillId="6" borderId="0" applyNumberFormat="0" applyBorder="0" applyAlignment="0" applyProtection="0"/>
    <xf numFmtId="0" fontId="84" fillId="7" borderId="0" applyNumberFormat="0" applyBorder="0" applyAlignment="0" applyProtection="0"/>
    <xf numFmtId="0" fontId="63" fillId="0" borderId="1"/>
    <xf numFmtId="0" fontId="84" fillId="8" borderId="0" applyNumberFormat="0" applyBorder="0" applyAlignment="0" applyProtection="0"/>
    <xf numFmtId="0" fontId="84" fillId="9" borderId="0" applyNumberFormat="0" applyBorder="0" applyAlignment="0" applyProtection="0"/>
    <xf numFmtId="0" fontId="84" fillId="10" borderId="0" applyNumberFormat="0" applyBorder="0" applyAlignment="0" applyProtection="0"/>
    <xf numFmtId="0" fontId="84" fillId="5" borderId="0" applyNumberFormat="0" applyBorder="0" applyAlignment="0" applyProtection="0"/>
    <xf numFmtId="0" fontId="84" fillId="8" borderId="0" applyNumberFormat="0" applyBorder="0" applyAlignment="0" applyProtection="0"/>
    <xf numFmtId="0" fontId="84" fillId="11" borderId="0" applyNumberFormat="0" applyBorder="0" applyAlignment="0" applyProtection="0"/>
    <xf numFmtId="0" fontId="85" fillId="12" borderId="0" applyNumberFormat="0" applyBorder="0" applyAlignment="0" applyProtection="0"/>
    <xf numFmtId="0" fontId="85" fillId="9" borderId="0" applyNumberFormat="0" applyBorder="0" applyAlignment="0" applyProtection="0"/>
    <xf numFmtId="0" fontId="85" fillId="10" borderId="0" applyNumberFormat="0" applyBorder="0" applyAlignment="0" applyProtection="0"/>
    <xf numFmtId="0" fontId="85" fillId="13" borderId="0" applyNumberFormat="0" applyBorder="0" applyAlignment="0" applyProtection="0"/>
    <xf numFmtId="0" fontId="85" fillId="14" borderId="0" applyNumberFormat="0" applyBorder="0" applyAlignment="0" applyProtection="0"/>
    <xf numFmtId="0" fontId="85" fillId="15" borderId="0" applyNumberFormat="0" applyBorder="0" applyAlignment="0" applyProtection="0"/>
    <xf numFmtId="0" fontId="85" fillId="16" borderId="0" applyNumberFormat="0" applyBorder="0" applyAlignment="0" applyProtection="0"/>
    <xf numFmtId="0" fontId="85" fillId="17" borderId="0" applyNumberFormat="0" applyBorder="0" applyAlignment="0" applyProtection="0"/>
    <xf numFmtId="0" fontId="85" fillId="18" borderId="0" applyNumberFormat="0" applyBorder="0" applyAlignment="0" applyProtection="0"/>
    <xf numFmtId="0" fontId="85" fillId="13" borderId="0" applyNumberFormat="0" applyBorder="0" applyAlignment="0" applyProtection="0"/>
    <xf numFmtId="0" fontId="85" fillId="14" borderId="0" applyNumberFormat="0" applyBorder="0" applyAlignment="0" applyProtection="0"/>
    <xf numFmtId="0" fontId="85" fillId="19" borderId="0" applyNumberFormat="0" applyBorder="0" applyAlignment="0" applyProtection="0"/>
    <xf numFmtId="200" fontId="18" fillId="0" borderId="0" applyFont="0" applyFill="0" applyBorder="0" applyAlignment="0" applyProtection="0"/>
    <xf numFmtId="0" fontId="19" fillId="0" borderId="0" applyFont="0" applyFill="0" applyBorder="0" applyAlignment="0" applyProtection="0"/>
    <xf numFmtId="169" fontId="20" fillId="0" borderId="0" applyFont="0" applyFill="0" applyBorder="0" applyAlignment="0" applyProtection="0"/>
    <xf numFmtId="181" fontId="18" fillId="0" borderId="0" applyFont="0" applyFill="0" applyBorder="0" applyAlignment="0" applyProtection="0"/>
    <xf numFmtId="0" fontId="19" fillId="0" borderId="0" applyFont="0" applyFill="0" applyBorder="0" applyAlignment="0" applyProtection="0"/>
    <xf numFmtId="190" fontId="16" fillId="0" borderId="0" applyFont="0" applyFill="0" applyBorder="0" applyAlignment="0" applyProtection="0"/>
    <xf numFmtId="184" fontId="21" fillId="0" borderId="0" applyFont="0" applyFill="0" applyBorder="0" applyAlignment="0" applyProtection="0"/>
    <xf numFmtId="0" fontId="19" fillId="0" borderId="0" applyFont="0" applyFill="0" applyBorder="0" applyAlignment="0" applyProtection="0"/>
    <xf numFmtId="184" fontId="21" fillId="0" borderId="0" applyFont="0" applyFill="0" applyBorder="0" applyAlignment="0" applyProtection="0"/>
    <xf numFmtId="185" fontId="21" fillId="0" borderId="0" applyFont="0" applyFill="0" applyBorder="0" applyAlignment="0" applyProtection="0"/>
    <xf numFmtId="0" fontId="19" fillId="0" borderId="0" applyFont="0" applyFill="0" applyBorder="0" applyAlignment="0" applyProtection="0"/>
    <xf numFmtId="185" fontId="21" fillId="0" borderId="0" applyFont="0" applyFill="0" applyBorder="0" applyAlignment="0" applyProtection="0"/>
    <xf numFmtId="179" fontId="16" fillId="0" borderId="0" applyFont="0" applyFill="0" applyBorder="0" applyAlignment="0" applyProtection="0"/>
    <xf numFmtId="0" fontId="86" fillId="3" borderId="0" applyNumberFormat="0" applyBorder="0" applyAlignment="0" applyProtection="0"/>
    <xf numFmtId="0" fontId="19" fillId="0" borderId="0"/>
    <xf numFmtId="0" fontId="6" fillId="0" borderId="0"/>
    <xf numFmtId="0" fontId="19" fillId="0" borderId="0"/>
    <xf numFmtId="0" fontId="22" fillId="0" borderId="0"/>
    <xf numFmtId="0" fontId="87" fillId="20" borderId="2" applyNumberFormat="0" applyAlignment="0" applyProtection="0"/>
    <xf numFmtId="0" fontId="23" fillId="0" borderId="0"/>
    <xf numFmtId="176" fontId="14" fillId="0" borderId="0" applyFont="0" applyFill="0" applyBorder="0" applyAlignment="0" applyProtection="0"/>
    <xf numFmtId="0" fontId="88" fillId="21" borderId="3" applyNumberFormat="0" applyAlignment="0" applyProtection="0"/>
    <xf numFmtId="1" fontId="64" fillId="0" borderId="4" applyBorder="0"/>
    <xf numFmtId="177" fontId="6" fillId="0" borderId="0" applyFont="0" applyFill="0" applyBorder="0" applyAlignment="0" applyProtection="0"/>
    <xf numFmtId="177" fontId="11" fillId="0" borderId="0" applyFont="0" applyFill="0" applyBorder="0" applyAlignment="0" applyProtection="0"/>
    <xf numFmtId="43" fontId="14" fillId="0" borderId="0" applyFont="0" applyFill="0" applyBorder="0" applyAlignment="0" applyProtection="0"/>
    <xf numFmtId="0" fontId="20" fillId="0" borderId="0" applyFont="0" applyFill="0" applyBorder="0" applyAlignment="0" applyProtection="0"/>
    <xf numFmtId="3" fontId="24" fillId="0" borderId="0" applyFont="0" applyFill="0" applyBorder="0" applyAlignment="0" applyProtection="0"/>
    <xf numFmtId="177" fontId="25" fillId="0" borderId="0" applyFont="0" applyFill="0" applyBorder="0" applyAlignment="0" applyProtection="0"/>
    <xf numFmtId="183" fontId="24" fillId="0" borderId="0" applyFont="0" applyFill="0" applyBorder="0" applyAlignment="0" applyProtection="0"/>
    <xf numFmtId="0" fontId="56" fillId="0" borderId="0"/>
    <xf numFmtId="0" fontId="57" fillId="0" borderId="0"/>
    <xf numFmtId="0" fontId="24" fillId="0" borderId="0" applyFont="0" applyFill="0" applyBorder="0" applyAlignment="0" applyProtection="0"/>
    <xf numFmtId="206" fontId="16" fillId="0" borderId="0" applyFont="0" applyFill="0" applyBorder="0" applyAlignment="0" applyProtection="0"/>
    <xf numFmtId="211" fontId="16" fillId="0" borderId="0" applyFont="0" applyFill="0" applyBorder="0" applyAlignment="0" applyProtection="0"/>
    <xf numFmtId="0" fontId="89" fillId="0" borderId="0" applyNumberFormat="0" applyFill="0" applyBorder="0" applyAlignment="0" applyProtection="0"/>
    <xf numFmtId="2" fontId="24" fillId="0" borderId="0" applyFont="0" applyFill="0" applyBorder="0" applyAlignment="0" applyProtection="0"/>
    <xf numFmtId="0" fontId="90" fillId="4" borderId="0" applyNumberFormat="0" applyBorder="0" applyAlignment="0" applyProtection="0"/>
    <xf numFmtId="38" fontId="26" fillId="22" borderId="0" applyNumberFormat="0" applyBorder="0" applyAlignment="0" applyProtection="0"/>
    <xf numFmtId="0" fontId="27" fillId="0" borderId="0">
      <alignment horizontal="left"/>
    </xf>
    <xf numFmtId="0" fontId="28" fillId="0" borderId="5" applyNumberFormat="0" applyAlignment="0" applyProtection="0">
      <alignment horizontal="left" vertical="center"/>
    </xf>
    <xf numFmtId="0" fontId="28" fillId="0" borderId="6">
      <alignment horizontal="left" vertical="center"/>
    </xf>
    <xf numFmtId="0" fontId="29" fillId="0" borderId="0" applyNumberFormat="0" applyFill="0" applyBorder="0" applyAlignment="0" applyProtection="0"/>
    <xf numFmtId="0" fontId="28" fillId="0" borderId="0" applyNumberFormat="0" applyFill="0" applyBorder="0" applyAlignment="0" applyProtection="0"/>
    <xf numFmtId="0" fontId="91" fillId="0" borderId="7" applyNumberFormat="0" applyFill="0" applyAlignment="0" applyProtection="0"/>
    <xf numFmtId="0" fontId="91" fillId="0" borderId="0" applyNumberFormat="0" applyFill="0" applyBorder="0" applyAlignment="0" applyProtection="0"/>
    <xf numFmtId="221" fontId="16" fillId="0" borderId="0">
      <protection locked="0"/>
    </xf>
    <xf numFmtId="221" fontId="16" fillId="0" borderId="0">
      <protection locked="0"/>
    </xf>
    <xf numFmtId="41" fontId="14" fillId="0" borderId="0" applyFont="0" applyFill="0" applyBorder="0" applyAlignment="0" applyProtection="0"/>
    <xf numFmtId="0" fontId="92" fillId="7" borderId="2" applyNumberFormat="0" applyAlignment="0" applyProtection="0"/>
    <xf numFmtId="10" fontId="26" fillId="22" borderId="8" applyNumberFormat="0" applyBorder="0" applyAlignment="0" applyProtection="0"/>
    <xf numFmtId="43" fontId="58" fillId="0" borderId="0"/>
    <xf numFmtId="0" fontId="43" fillId="0" borderId="0"/>
    <xf numFmtId="0" fontId="93" fillId="0" borderId="9" applyNumberFormat="0" applyFill="0" applyAlignment="0" applyProtection="0"/>
    <xf numFmtId="0" fontId="14" fillId="23" borderId="0"/>
    <xf numFmtId="0" fontId="30" fillId="0" borderId="10"/>
    <xf numFmtId="0" fontId="58" fillId="0" borderId="0"/>
    <xf numFmtId="0" fontId="94" fillId="24" borderId="0" applyNumberFormat="0" applyBorder="0" applyAlignment="0" applyProtection="0"/>
    <xf numFmtId="0" fontId="65" fillId="0" borderId="8" applyNumberFormat="0" applyFont="0" applyFill="0" applyBorder="0" applyAlignment="0">
      <alignment horizontal="center"/>
    </xf>
    <xf numFmtId="182" fontId="31" fillId="0" borderId="0"/>
    <xf numFmtId="0" fontId="11" fillId="0" borderId="0"/>
    <xf numFmtId="0" fontId="11" fillId="0" borderId="0"/>
    <xf numFmtId="0" fontId="24" fillId="0" borderId="0"/>
    <xf numFmtId="0" fontId="16" fillId="0" borderId="0"/>
    <xf numFmtId="0" fontId="14" fillId="0" borderId="0"/>
    <xf numFmtId="0" fontId="32" fillId="0" borderId="0"/>
    <xf numFmtId="0" fontId="20" fillId="0" borderId="0"/>
    <xf numFmtId="0" fontId="20" fillId="0" borderId="0"/>
    <xf numFmtId="0" fontId="44" fillId="0" borderId="0"/>
    <xf numFmtId="0" fontId="20" fillId="0" borderId="0"/>
    <xf numFmtId="0" fontId="78" fillId="0" borderId="0"/>
    <xf numFmtId="0" fontId="49" fillId="0" borderId="0"/>
    <xf numFmtId="0" fontId="24" fillId="0" borderId="0"/>
    <xf numFmtId="0" fontId="80" fillId="25" borderId="11" applyNumberFormat="0" applyFont="0" applyAlignment="0" applyProtection="0"/>
    <xf numFmtId="0" fontId="24" fillId="0" borderId="0" applyFont="0" applyFill="0" applyBorder="0" applyAlignment="0" applyProtection="0"/>
    <xf numFmtId="0" fontId="11" fillId="0" borderId="0"/>
    <xf numFmtId="0" fontId="95" fillId="20" borderId="12" applyNumberFormat="0" applyAlignment="0" applyProtection="0"/>
    <xf numFmtId="10" fontId="32" fillId="0" borderId="0" applyFont="0" applyFill="0" applyBorder="0" applyAlignment="0" applyProtection="0"/>
    <xf numFmtId="10" fontId="24" fillId="0" borderId="0" applyFont="0" applyFill="0" applyBorder="0" applyAlignment="0" applyProtection="0"/>
    <xf numFmtId="209" fontId="20" fillId="0" borderId="0"/>
    <xf numFmtId="41" fontId="14" fillId="0" borderId="0" applyFont="0" applyFill="0" applyBorder="0" applyAlignment="0" applyProtection="0"/>
    <xf numFmtId="0" fontId="32" fillId="0" borderId="0"/>
    <xf numFmtId="179"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9"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95" fontId="14" fillId="0" borderId="0" applyFont="0" applyFill="0" applyBorder="0" applyAlignment="0" applyProtection="0"/>
    <xf numFmtId="42" fontId="14" fillId="0" borderId="0" applyFont="0" applyFill="0" applyBorder="0" applyAlignment="0" applyProtection="0"/>
    <xf numFmtId="174" fontId="16" fillId="0" borderId="0" applyFont="0" applyFill="0" applyBorder="0" applyAlignment="0" applyProtection="0"/>
    <xf numFmtId="180" fontId="16"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42"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95" fontId="14" fillId="0" borderId="0" applyFont="0" applyFill="0" applyBorder="0" applyAlignment="0" applyProtection="0"/>
    <xf numFmtId="179" fontId="14" fillId="0" borderId="0" applyFont="0" applyFill="0" applyBorder="0" applyAlignment="0" applyProtection="0"/>
    <xf numFmtId="42" fontId="14" fillId="0" borderId="0" applyFont="0" applyFill="0" applyBorder="0" applyAlignment="0" applyProtection="0"/>
    <xf numFmtId="174" fontId="14" fillId="0" borderId="0" applyFont="0" applyFill="0" applyBorder="0" applyAlignment="0" applyProtection="0"/>
    <xf numFmtId="196" fontId="14" fillId="0" borderId="0" applyFont="0" applyFill="0" applyBorder="0" applyAlignment="0" applyProtection="0"/>
    <xf numFmtId="216" fontId="14" fillId="0" borderId="0" applyFont="0" applyFill="0" applyBorder="0" applyAlignment="0" applyProtection="0"/>
    <xf numFmtId="218" fontId="16" fillId="0" borderId="0" applyFont="0" applyFill="0" applyBorder="0" applyAlignment="0" applyProtection="0"/>
    <xf numFmtId="174" fontId="14" fillId="0" borderId="0" applyFont="0" applyFill="0" applyBorder="0" applyAlignment="0" applyProtection="0"/>
    <xf numFmtId="216" fontId="14" fillId="0" borderId="0" applyFont="0" applyFill="0" applyBorder="0" applyAlignment="0" applyProtection="0"/>
    <xf numFmtId="174" fontId="14" fillId="0" borderId="0" applyFont="0" applyFill="0" applyBorder="0" applyAlignment="0" applyProtection="0"/>
    <xf numFmtId="213" fontId="16" fillId="0" borderId="0" applyFont="0" applyFill="0" applyBorder="0" applyAlignment="0" applyProtection="0"/>
    <xf numFmtId="191" fontId="14" fillId="0" borderId="0" applyFont="0" applyFill="0" applyBorder="0" applyAlignment="0" applyProtection="0"/>
    <xf numFmtId="204" fontId="14" fillId="0" borderId="0" applyFont="0" applyFill="0" applyBorder="0" applyAlignment="0" applyProtection="0"/>
    <xf numFmtId="179" fontId="14" fillId="0" borderId="0" applyFont="0" applyFill="0" applyBorder="0" applyAlignment="0" applyProtection="0"/>
    <xf numFmtId="204" fontId="14" fillId="0" borderId="0" applyFont="0" applyFill="0" applyBorder="0" applyAlignment="0" applyProtection="0"/>
    <xf numFmtId="175"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84" fontId="14" fillId="0" borderId="0" applyFont="0" applyFill="0" applyBorder="0" applyAlignment="0" applyProtection="0"/>
    <xf numFmtId="196" fontId="14" fillId="0" borderId="0" applyFont="0" applyFill="0" applyBorder="0" applyAlignment="0" applyProtection="0"/>
    <xf numFmtId="44" fontId="16" fillId="0" borderId="0" applyFont="0" applyFill="0" applyBorder="0" applyAlignment="0" applyProtection="0"/>
    <xf numFmtId="181"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166" fontId="14" fillId="0" borderId="0" applyFont="0" applyFill="0" applyBorder="0" applyAlignment="0" applyProtection="0"/>
    <xf numFmtId="214" fontId="14" fillId="0" borderId="0" applyFont="0" applyFill="0" applyBorder="0" applyAlignment="0" applyProtection="0"/>
    <xf numFmtId="184"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41" fontId="14" fillId="0" borderId="0" applyFont="0" applyFill="0" applyBorder="0" applyAlignment="0" applyProtection="0"/>
    <xf numFmtId="192"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4" fontId="14" fillId="0" borderId="0" applyFont="0" applyFill="0" applyBorder="0" applyAlignment="0" applyProtection="0"/>
    <xf numFmtId="184"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184" fontId="14" fillId="0" borderId="0" applyFont="0" applyFill="0" applyBorder="0" applyAlignment="0" applyProtection="0"/>
    <xf numFmtId="175" fontId="14" fillId="0" borderId="0" applyFont="0" applyFill="0" applyBorder="0" applyAlignment="0" applyProtection="0"/>
    <xf numFmtId="196" fontId="14" fillId="0" borderId="0" applyFont="0" applyFill="0" applyBorder="0" applyAlignment="0" applyProtection="0"/>
    <xf numFmtId="44" fontId="16" fillId="0" borderId="0" applyFont="0" applyFill="0" applyBorder="0" applyAlignment="0" applyProtection="0"/>
    <xf numFmtId="181" fontId="14" fillId="0" borderId="0" applyFont="0" applyFill="0" applyBorder="0" applyAlignment="0" applyProtection="0"/>
    <xf numFmtId="196" fontId="14" fillId="0" borderId="0" applyFont="0" applyFill="0" applyBorder="0" applyAlignment="0" applyProtection="0"/>
    <xf numFmtId="166" fontId="14" fillId="0" borderId="0" applyFont="0" applyFill="0" applyBorder="0" applyAlignment="0" applyProtection="0"/>
    <xf numFmtId="214" fontId="14" fillId="0" borderId="0" applyFont="0" applyFill="0" applyBorder="0" applyAlignment="0" applyProtection="0"/>
    <xf numFmtId="184"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92"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4" fontId="20" fillId="0" borderId="0"/>
    <xf numFmtId="0" fontId="53" fillId="0" borderId="0"/>
    <xf numFmtId="0" fontId="30" fillId="0" borderId="0"/>
    <xf numFmtId="198" fontId="14"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203" fontId="32" fillId="0" borderId="13">
      <alignment horizontal="right" vertical="center"/>
    </xf>
    <xf numFmtId="203" fontId="24" fillId="0" borderId="13">
      <alignment horizontal="right" vertical="center"/>
    </xf>
    <xf numFmtId="203" fontId="32" fillId="0" borderId="13">
      <alignment horizontal="right" vertical="center"/>
    </xf>
    <xf numFmtId="203" fontId="24" fillId="0" borderId="13">
      <alignment horizontal="right" vertical="center"/>
    </xf>
    <xf numFmtId="198" fontId="14"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172" fontId="34" fillId="0" borderId="13">
      <alignment horizontal="right" vertical="center"/>
    </xf>
    <xf numFmtId="173" fontId="33" fillId="0" borderId="13">
      <alignment horizontal="right" vertical="center"/>
    </xf>
    <xf numFmtId="173" fontId="33" fillId="0" borderId="13">
      <alignment horizontal="right" vertical="center"/>
    </xf>
    <xf numFmtId="198" fontId="14" fillId="0" borderId="13">
      <alignment horizontal="right" vertical="center"/>
    </xf>
    <xf numFmtId="212" fontId="59" fillId="26" borderId="14" applyFont="0" applyFill="0" applyBorder="0"/>
    <xf numFmtId="173" fontId="33"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208" fontId="20" fillId="0" borderId="1"/>
    <xf numFmtId="199" fontId="35" fillId="0" borderId="13">
      <alignment horizontal="center"/>
    </xf>
    <xf numFmtId="0" fontId="14" fillId="0" borderId="0"/>
    <xf numFmtId="0" fontId="96" fillId="0" borderId="0" applyNumberFormat="0" applyFill="0" applyBorder="0" applyAlignment="0" applyProtection="0"/>
    <xf numFmtId="0" fontId="24" fillId="0" borderId="15" applyNumberFormat="0" applyFont="0" applyFill="0" applyAlignment="0" applyProtection="0"/>
    <xf numFmtId="187" fontId="36" fillId="0" borderId="0"/>
    <xf numFmtId="197" fontId="36" fillId="0" borderId="8"/>
    <xf numFmtId="210" fontId="16" fillId="0" borderId="0" applyFont="0" applyFill="0" applyBorder="0" applyAlignment="0" applyProtection="0"/>
    <xf numFmtId="186" fontId="16" fillId="0" borderId="0" applyFont="0" applyFill="0" applyBorder="0" applyAlignment="0" applyProtection="0"/>
    <xf numFmtId="0" fontId="97" fillId="0" borderId="0" applyNumberFormat="0" applyFill="0" applyBorder="0" applyAlignment="0" applyProtection="0"/>
    <xf numFmtId="40" fontId="37" fillId="0" borderId="0" applyFont="0" applyFill="0" applyBorder="0" applyAlignment="0" applyProtection="0"/>
    <xf numFmtId="38" fontId="37"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9" fontId="38" fillId="0" borderId="0" applyFont="0" applyFill="0" applyBorder="0" applyAlignment="0" applyProtection="0"/>
    <xf numFmtId="0" fontId="39" fillId="0" borderId="0"/>
    <xf numFmtId="189" fontId="34" fillId="0" borderId="0" applyFont="0" applyFill="0" applyBorder="0" applyAlignment="0" applyProtection="0"/>
    <xf numFmtId="188" fontId="34" fillId="0" borderId="0" applyFont="0" applyFill="0" applyBorder="0" applyAlignment="0" applyProtection="0"/>
    <xf numFmtId="0" fontId="41" fillId="0" borderId="0"/>
    <xf numFmtId="166" fontId="40" fillId="0" borderId="0" applyFont="0" applyFill="0" applyBorder="0" applyAlignment="0" applyProtection="0"/>
    <xf numFmtId="185" fontId="61" fillId="0" borderId="0" applyFont="0" applyFill="0" applyBorder="0" applyAlignment="0" applyProtection="0"/>
    <xf numFmtId="184" fontId="61" fillId="0" borderId="0" applyFont="0" applyFill="0" applyBorder="0" applyAlignment="0" applyProtection="0"/>
    <xf numFmtId="0" fontId="61" fillId="0" borderId="0"/>
    <xf numFmtId="179" fontId="40" fillId="0" borderId="0" applyFont="0" applyFill="0" applyBorder="0" applyAlignment="0" applyProtection="0"/>
    <xf numFmtId="180" fontId="40" fillId="0" borderId="0" applyFont="0" applyFill="0" applyBorder="0" applyAlignment="0" applyProtection="0"/>
    <xf numFmtId="219" fontId="16" fillId="0" borderId="0" applyFont="0" applyFill="0" applyBorder="0" applyAlignment="0" applyProtection="0"/>
    <xf numFmtId="195" fontId="16"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0" fontId="6" fillId="0" borderId="0"/>
    <xf numFmtId="0" fontId="84" fillId="2" borderId="0" applyNumberFormat="0" applyBorder="0" applyAlignment="0" applyProtection="0"/>
    <xf numFmtId="0" fontId="84" fillId="3" borderId="0" applyNumberFormat="0" applyBorder="0" applyAlignment="0" applyProtection="0"/>
    <xf numFmtId="0" fontId="84" fillId="4" borderId="0" applyNumberFormat="0" applyBorder="0" applyAlignment="0" applyProtection="0"/>
    <xf numFmtId="0" fontId="84" fillId="5" borderId="0" applyNumberFormat="0" applyBorder="0" applyAlignment="0" applyProtection="0"/>
    <xf numFmtId="0" fontId="84" fillId="6" borderId="0" applyNumberFormat="0" applyBorder="0" applyAlignment="0" applyProtection="0"/>
    <xf numFmtId="0" fontId="84" fillId="7" borderId="0" applyNumberFormat="0" applyBorder="0" applyAlignment="0" applyProtection="0"/>
    <xf numFmtId="0" fontId="84" fillId="8" borderId="0" applyNumberFormat="0" applyBorder="0" applyAlignment="0" applyProtection="0"/>
    <xf numFmtId="0" fontId="84" fillId="9" borderId="0" applyNumberFormat="0" applyBorder="0" applyAlignment="0" applyProtection="0"/>
    <xf numFmtId="0" fontId="84" fillId="10" borderId="0" applyNumberFormat="0" applyBorder="0" applyAlignment="0" applyProtection="0"/>
    <xf numFmtId="0" fontId="84" fillId="5" borderId="0" applyNumberFormat="0" applyBorder="0" applyAlignment="0" applyProtection="0"/>
    <xf numFmtId="0" fontId="84" fillId="8" borderId="0" applyNumberFormat="0" applyBorder="0" applyAlignment="0" applyProtection="0"/>
    <xf numFmtId="0" fontId="84" fillId="11" borderId="0" applyNumberFormat="0" applyBorder="0" applyAlignment="0" applyProtection="0"/>
    <xf numFmtId="0" fontId="85" fillId="12" borderId="0" applyNumberFormat="0" applyBorder="0" applyAlignment="0" applyProtection="0"/>
    <xf numFmtId="0" fontId="85" fillId="9" borderId="0" applyNumberFormat="0" applyBorder="0" applyAlignment="0" applyProtection="0"/>
    <xf numFmtId="0" fontId="85" fillId="10" borderId="0" applyNumberFormat="0" applyBorder="0" applyAlignment="0" applyProtection="0"/>
    <xf numFmtId="0" fontId="85" fillId="13" borderId="0" applyNumberFormat="0" applyBorder="0" applyAlignment="0" applyProtection="0"/>
    <xf numFmtId="0" fontId="85" fillId="14" borderId="0" applyNumberFormat="0" applyBorder="0" applyAlignment="0" applyProtection="0"/>
    <xf numFmtId="0" fontId="85" fillId="15" borderId="0" applyNumberFormat="0" applyBorder="0" applyAlignment="0" applyProtection="0"/>
    <xf numFmtId="0" fontId="85" fillId="16" borderId="0" applyNumberFormat="0" applyBorder="0" applyAlignment="0" applyProtection="0"/>
    <xf numFmtId="0" fontId="85" fillId="17" borderId="0" applyNumberFormat="0" applyBorder="0" applyAlignment="0" applyProtection="0"/>
    <xf numFmtId="0" fontId="85" fillId="18" borderId="0" applyNumberFormat="0" applyBorder="0" applyAlignment="0" applyProtection="0"/>
    <xf numFmtId="0" fontId="85" fillId="13" borderId="0" applyNumberFormat="0" applyBorder="0" applyAlignment="0" applyProtection="0"/>
    <xf numFmtId="0" fontId="85" fillId="14" borderId="0" applyNumberFormat="0" applyBorder="0" applyAlignment="0" applyProtection="0"/>
    <xf numFmtId="0" fontId="85" fillId="19" borderId="0" applyNumberFormat="0" applyBorder="0" applyAlignment="0" applyProtection="0"/>
    <xf numFmtId="0" fontId="86" fillId="3" borderId="0" applyNumberFormat="0" applyBorder="0" applyAlignment="0" applyProtection="0"/>
    <xf numFmtId="0" fontId="87" fillId="20" borderId="2" applyNumberFormat="0" applyAlignment="0" applyProtection="0"/>
    <xf numFmtId="0" fontId="88" fillId="21" borderId="3" applyNumberFormat="0" applyAlignment="0" applyProtection="0"/>
    <xf numFmtId="177" fontId="6" fillId="0" borderId="0" applyFont="0" applyFill="0" applyBorder="0" applyAlignment="0" applyProtection="0"/>
    <xf numFmtId="177" fontId="6" fillId="0" borderId="0" applyFont="0" applyFill="0" applyBorder="0" applyAlignment="0" applyProtection="0"/>
    <xf numFmtId="0" fontId="89" fillId="0" borderId="0" applyNumberFormat="0" applyFill="0" applyBorder="0" applyAlignment="0" applyProtection="0"/>
    <xf numFmtId="0" fontId="90" fillId="4" borderId="0" applyNumberFormat="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91" fillId="0" borderId="7" applyNumberFormat="0" applyFill="0" applyAlignment="0" applyProtection="0"/>
    <xf numFmtId="0" fontId="91" fillId="0" borderId="0" applyNumberFormat="0" applyFill="0" applyBorder="0" applyAlignment="0" applyProtection="0"/>
    <xf numFmtId="0" fontId="92" fillId="7" borderId="2" applyNumberFormat="0" applyAlignment="0" applyProtection="0"/>
    <xf numFmtId="0" fontId="93" fillId="0" borderId="9" applyNumberFormat="0" applyFill="0" applyAlignment="0" applyProtection="0"/>
    <xf numFmtId="0" fontId="94" fillId="24" borderId="0" applyNumberFormat="0" applyBorder="0" applyAlignment="0" applyProtection="0"/>
    <xf numFmtId="0" fontId="6" fillId="0" borderId="0"/>
    <xf numFmtId="0" fontId="6" fillId="0" borderId="0"/>
    <xf numFmtId="0" fontId="6" fillId="25" borderId="11" applyNumberFormat="0" applyFont="0" applyAlignment="0" applyProtection="0"/>
    <xf numFmtId="0" fontId="95" fillId="20" borderId="12" applyNumberFormat="0" applyAlignment="0" applyProtection="0"/>
    <xf numFmtId="0" fontId="96" fillId="0" borderId="0" applyNumberFormat="0" applyFill="0" applyBorder="0" applyAlignment="0" applyProtection="0"/>
    <xf numFmtId="0" fontId="24" fillId="0" borderId="15" applyNumberFormat="0" applyFont="0" applyFill="0" applyAlignment="0" applyProtection="0"/>
    <xf numFmtId="0" fontId="97" fillId="0" borderId="0" applyNumberFormat="0" applyFill="0" applyBorder="0" applyAlignment="0" applyProtection="0"/>
    <xf numFmtId="0" fontId="14" fillId="0" borderId="0"/>
    <xf numFmtId="0" fontId="16" fillId="0" borderId="0"/>
    <xf numFmtId="0" fontId="16" fillId="0" borderId="0"/>
    <xf numFmtId="0" fontId="102" fillId="0" borderId="0">
      <alignment vertical="top"/>
    </xf>
    <xf numFmtId="0" fontId="79" fillId="0" borderId="0"/>
    <xf numFmtId="177" fontId="103" fillId="0" borderId="0" applyFont="0" applyFill="0" applyBorder="0" applyAlignment="0" applyProtection="0"/>
    <xf numFmtId="0" fontId="4" fillId="0" borderId="0"/>
    <xf numFmtId="0" fontId="4" fillId="0" borderId="0"/>
    <xf numFmtId="0" fontId="4" fillId="0" borderId="0"/>
    <xf numFmtId="0" fontId="104" fillId="0" borderId="0"/>
    <xf numFmtId="0" fontId="4" fillId="0" borderId="0"/>
    <xf numFmtId="0" fontId="4" fillId="0" borderId="0"/>
    <xf numFmtId="0" fontId="4" fillId="0" borderId="0"/>
    <xf numFmtId="0" fontId="6" fillId="0" borderId="0"/>
    <xf numFmtId="0" fontId="105" fillId="0" borderId="1"/>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6" fillId="0" borderId="0"/>
    <xf numFmtId="0" fontId="6" fillId="0" borderId="0"/>
    <xf numFmtId="0" fontId="6" fillId="0" borderId="0"/>
    <xf numFmtId="177"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171" fontId="14" fillId="0" borderId="0" applyFont="0" applyFill="0" applyBorder="0" applyAlignment="0" applyProtection="0"/>
    <xf numFmtId="171" fontId="14" fillId="0" borderId="0" applyFont="0" applyFill="0" applyBorder="0" applyAlignment="0" applyProtection="0"/>
    <xf numFmtId="231" fontId="14" fillId="0" borderId="0" applyFont="0" applyFill="0" applyBorder="0" applyAlignment="0" applyProtection="0"/>
    <xf numFmtId="0" fontId="14" fillId="0" borderId="0"/>
    <xf numFmtId="233" fontId="14" fillId="0" borderId="0" applyFont="0" applyFill="0" applyBorder="0" applyAlignment="0" applyProtection="0"/>
    <xf numFmtId="165" fontId="14" fillId="0" borderId="0" applyFont="0" applyFill="0" applyBorder="0" applyAlignment="0" applyProtection="0"/>
    <xf numFmtId="231"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31"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31" fontId="14" fillId="0" borderId="0" applyFont="0" applyFill="0" applyBorder="0" applyAlignment="0" applyProtection="0"/>
    <xf numFmtId="233" fontId="14" fillId="0" borderId="0" applyFont="0" applyFill="0" applyBorder="0" applyAlignment="0" applyProtection="0"/>
    <xf numFmtId="177" fontId="14" fillId="0" borderId="0" applyFont="0" applyFill="0" applyBorder="0" applyAlignment="0" applyProtection="0"/>
    <xf numFmtId="185"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0" fontId="14" fillId="0" borderId="0" applyFont="0" applyFill="0" applyBorder="0" applyAlignment="0" applyProtection="0"/>
    <xf numFmtId="185"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168" fontId="14" fillId="0" borderId="0" applyFont="0" applyFill="0" applyBorder="0" applyAlignment="0" applyProtection="0"/>
    <xf numFmtId="234" fontId="14" fillId="0" borderId="0" applyFont="0" applyFill="0" applyBorder="0" applyAlignment="0" applyProtection="0"/>
    <xf numFmtId="215"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85"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7"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193" fontId="14" fillId="0" borderId="0" applyFont="0" applyFill="0" applyBorder="0" applyAlignment="0" applyProtection="0"/>
    <xf numFmtId="205" fontId="14" fillId="0" borderId="0" applyFont="0" applyFill="0" applyBorder="0" applyAlignment="0" applyProtection="0"/>
    <xf numFmtId="171"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3" fontId="14" fillId="0" borderId="0" applyFont="0" applyFill="0" applyBorder="0" applyAlignment="0" applyProtection="0"/>
    <xf numFmtId="165" fontId="14" fillId="0" borderId="0" applyFont="0" applyFill="0" applyBorder="0" applyAlignment="0" applyProtection="0"/>
    <xf numFmtId="231"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31"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31"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4"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231" fontId="14" fillId="0" borderId="0" applyFont="0" applyFill="0" applyBorder="0" applyAlignment="0" applyProtection="0"/>
    <xf numFmtId="191" fontId="14" fillId="0" borderId="0" applyFont="0" applyFill="0" applyBorder="0" applyAlignment="0" applyProtection="0"/>
    <xf numFmtId="231" fontId="14" fillId="0" borderId="0" applyFont="0" applyFill="0" applyBorder="0" applyAlignment="0" applyProtection="0"/>
    <xf numFmtId="165" fontId="14" fillId="0" borderId="0" applyFont="0" applyFill="0" applyBorder="0" applyAlignment="0" applyProtection="0"/>
    <xf numFmtId="231" fontId="14" fillId="0" borderId="0" applyFont="0" applyFill="0" applyBorder="0" applyAlignment="0" applyProtection="0"/>
    <xf numFmtId="165" fontId="14" fillId="0" borderId="0" applyFont="0" applyFill="0" applyBorder="0" applyAlignment="0" applyProtection="0"/>
    <xf numFmtId="177" fontId="14" fillId="0" borderId="0" applyFont="0" applyFill="0" applyBorder="0" applyAlignment="0" applyProtection="0"/>
    <xf numFmtId="185"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0" fontId="14" fillId="0" borderId="0" applyFont="0" applyFill="0" applyBorder="0" applyAlignment="0" applyProtection="0"/>
    <xf numFmtId="185"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168" fontId="14" fillId="0" borderId="0" applyFont="0" applyFill="0" applyBorder="0" applyAlignment="0" applyProtection="0"/>
    <xf numFmtId="234" fontId="14" fillId="0" borderId="0" applyFont="0" applyFill="0" applyBorder="0" applyAlignment="0" applyProtection="0"/>
    <xf numFmtId="215"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85"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7"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193" fontId="14" fillId="0" borderId="0" applyFont="0" applyFill="0" applyBorder="0" applyAlignment="0" applyProtection="0"/>
    <xf numFmtId="205" fontId="14" fillId="0" borderId="0" applyFont="0" applyFill="0" applyBorder="0" applyAlignment="0" applyProtection="0"/>
    <xf numFmtId="171"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5" fontId="14" fillId="0" borderId="0" applyFont="0" applyFill="0" applyBorder="0" applyAlignment="0" applyProtection="0"/>
    <xf numFmtId="184"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39"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84" fontId="14" fillId="0" borderId="0" applyFont="0" applyFill="0" applyBorder="0" applyAlignment="0" applyProtection="0"/>
    <xf numFmtId="181" fontId="14" fillId="0" borderId="0" applyFont="0" applyFill="0" applyBorder="0" applyAlignment="0" applyProtection="0"/>
    <xf numFmtId="196" fontId="14" fillId="0" borderId="0" applyFont="0" applyFill="0" applyBorder="0" applyAlignment="0" applyProtection="0"/>
    <xf numFmtId="166" fontId="14" fillId="0" borderId="0" applyFont="0" applyFill="0" applyBorder="0" applyAlignment="0" applyProtection="0"/>
    <xf numFmtId="239" fontId="14" fillId="0" borderId="0" applyFont="0" applyFill="0" applyBorder="0" applyAlignment="0" applyProtection="0"/>
    <xf numFmtId="214"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84"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5"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39"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39" fontId="14" fillId="0" borderId="0" applyFont="0" applyFill="0" applyBorder="0" applyAlignment="0" applyProtection="0"/>
    <xf numFmtId="192" fontId="14" fillId="0" borderId="0" applyFont="0" applyFill="0" applyBorder="0" applyAlignment="0" applyProtection="0"/>
    <xf numFmtId="181" fontId="14" fillId="0" borderId="0" applyFont="0" applyFill="0" applyBorder="0" applyAlignment="0" applyProtection="0"/>
    <xf numFmtId="170"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65" fontId="14" fillId="0" borderId="0" applyFont="0" applyFill="0" applyBorder="0" applyAlignment="0" applyProtection="0"/>
    <xf numFmtId="231"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31"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31"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4"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231" fontId="14" fillId="0" borderId="0" applyFont="0" applyFill="0" applyBorder="0" applyAlignment="0" applyProtection="0"/>
    <xf numFmtId="191" fontId="14" fillId="0" borderId="0" applyFont="0" applyFill="0" applyBorder="0" applyAlignment="0" applyProtection="0"/>
    <xf numFmtId="231" fontId="14" fillId="0" borderId="0" applyFont="0" applyFill="0" applyBorder="0" applyAlignment="0" applyProtection="0"/>
    <xf numFmtId="165" fontId="14" fillId="0" borderId="0" applyFont="0" applyFill="0" applyBorder="0" applyAlignment="0" applyProtection="0"/>
    <xf numFmtId="231" fontId="14" fillId="0" borderId="0" applyFont="0" applyFill="0" applyBorder="0" applyAlignment="0" applyProtection="0"/>
    <xf numFmtId="165" fontId="14" fillId="0" borderId="0" applyFont="0" applyFill="0" applyBorder="0" applyAlignment="0" applyProtection="0"/>
    <xf numFmtId="175" fontId="14" fillId="0" borderId="0" applyFont="0" applyFill="0" applyBorder="0" applyAlignment="0" applyProtection="0"/>
    <xf numFmtId="184"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39"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84" fontId="14" fillId="0" borderId="0" applyFont="0" applyFill="0" applyBorder="0" applyAlignment="0" applyProtection="0"/>
    <xf numFmtId="181" fontId="14" fillId="0" borderId="0" applyFont="0" applyFill="0" applyBorder="0" applyAlignment="0" applyProtection="0"/>
    <xf numFmtId="196" fontId="14" fillId="0" borderId="0" applyFont="0" applyFill="0" applyBorder="0" applyAlignment="0" applyProtection="0"/>
    <xf numFmtId="166" fontId="14" fillId="0" borderId="0" applyFont="0" applyFill="0" applyBorder="0" applyAlignment="0" applyProtection="0"/>
    <xf numFmtId="239" fontId="14" fillId="0" borderId="0" applyFont="0" applyFill="0" applyBorder="0" applyAlignment="0" applyProtection="0"/>
    <xf numFmtId="214"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84"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5"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39"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39" fontId="14" fillId="0" borderId="0" applyFont="0" applyFill="0" applyBorder="0" applyAlignment="0" applyProtection="0"/>
    <xf numFmtId="192" fontId="14" fillId="0" borderId="0" applyFont="0" applyFill="0" applyBorder="0" applyAlignment="0" applyProtection="0"/>
    <xf numFmtId="181" fontId="14" fillId="0" borderId="0" applyFont="0" applyFill="0" applyBorder="0" applyAlignment="0" applyProtection="0"/>
    <xf numFmtId="170"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7" fontId="14" fillId="0" borderId="0" applyFont="0" applyFill="0" applyBorder="0" applyAlignment="0" applyProtection="0"/>
    <xf numFmtId="185"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0" fontId="14" fillId="0" borderId="0" applyFont="0" applyFill="0" applyBorder="0" applyAlignment="0" applyProtection="0"/>
    <xf numFmtId="185"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168" fontId="14" fillId="0" borderId="0" applyFont="0" applyFill="0" applyBorder="0" applyAlignment="0" applyProtection="0"/>
    <xf numFmtId="234" fontId="14" fillId="0" borderId="0" applyFont="0" applyFill="0" applyBorder="0" applyAlignment="0" applyProtection="0"/>
    <xf numFmtId="215"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85"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7"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193" fontId="14" fillId="0" borderId="0" applyFont="0" applyFill="0" applyBorder="0" applyAlignment="0" applyProtection="0"/>
    <xf numFmtId="205" fontId="14" fillId="0" borderId="0" applyFont="0" applyFill="0" applyBorder="0" applyAlignment="0" applyProtection="0"/>
    <xf numFmtId="171"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4"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237"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231" fontId="14" fillId="0" borderId="0" applyFont="0" applyFill="0" applyBorder="0" applyAlignment="0" applyProtection="0"/>
    <xf numFmtId="191" fontId="14" fillId="0" borderId="0" applyFont="0" applyFill="0" applyBorder="0" applyAlignment="0" applyProtection="0"/>
    <xf numFmtId="165" fontId="14" fillId="0" borderId="0" applyFont="0" applyFill="0" applyBorder="0" applyAlignment="0" applyProtection="0"/>
    <xf numFmtId="231" fontId="14" fillId="0" borderId="0" applyFont="0" applyFill="0" applyBorder="0" applyAlignment="0" applyProtection="0"/>
    <xf numFmtId="175" fontId="14" fillId="0" borderId="0" applyFont="0" applyFill="0" applyBorder="0" applyAlignment="0" applyProtection="0"/>
    <xf numFmtId="184"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39"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84" fontId="14" fillId="0" borderId="0" applyFont="0" applyFill="0" applyBorder="0" applyAlignment="0" applyProtection="0"/>
    <xf numFmtId="181" fontId="14" fillId="0" borderId="0" applyFont="0" applyFill="0" applyBorder="0" applyAlignment="0" applyProtection="0"/>
    <xf numFmtId="196" fontId="14" fillId="0" borderId="0" applyFont="0" applyFill="0" applyBorder="0" applyAlignment="0" applyProtection="0"/>
    <xf numFmtId="166" fontId="14" fillId="0" borderId="0" applyFont="0" applyFill="0" applyBorder="0" applyAlignment="0" applyProtection="0"/>
    <xf numFmtId="239" fontId="14" fillId="0" borderId="0" applyFont="0" applyFill="0" applyBorder="0" applyAlignment="0" applyProtection="0"/>
    <xf numFmtId="214"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84"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5"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39"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22"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22"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22"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22"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40" fontId="16" fillId="0" borderId="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23"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23"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17" fontId="16" fillId="0" borderId="0" applyFont="0" applyFill="0" applyBorder="0" applyAlignment="0" applyProtection="0"/>
    <xf numFmtId="217" fontId="16"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15" fontId="14" fillId="0" borderId="0" applyFont="0" applyFill="0" applyBorder="0" applyAlignment="0" applyProtection="0"/>
    <xf numFmtId="215"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23"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23"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23"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23"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4" fontId="14" fillId="0" borderId="0" applyFont="0" applyFill="0" applyBorder="0" applyAlignment="0" applyProtection="0"/>
    <xf numFmtId="234"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23"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23"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5" fontId="16"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20" fontId="16" fillId="0" borderId="0" applyFont="0" applyFill="0" applyBorder="0" applyAlignment="0" applyProtection="0"/>
    <xf numFmtId="232" fontId="16" fillId="0" borderId="0" applyFill="0" applyBorder="0" applyAlignment="0" applyProtection="0"/>
    <xf numFmtId="232" fontId="16" fillId="0" borderId="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194" fontId="16" fillId="0" borderId="0" applyFont="0" applyFill="0" applyBorder="0" applyAlignment="0" applyProtection="0"/>
    <xf numFmtId="233" fontId="16" fillId="0" borderId="0" applyFont="0" applyFill="0" applyBorder="0" applyAlignment="0" applyProtection="0"/>
    <xf numFmtId="168" fontId="16" fillId="0" borderId="0" applyFont="0" applyFill="0" applyBorder="0" applyAlignment="0" applyProtection="0"/>
    <xf numFmtId="166" fontId="16"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24" fillId="0" borderId="0"/>
    <xf numFmtId="0" fontId="105" fillId="0" borderId="78"/>
    <xf numFmtId="0" fontId="105" fillId="0" borderId="78"/>
    <xf numFmtId="186" fontId="14" fillId="0" borderId="0" applyFill="0" applyBorder="0" applyAlignment="0" applyProtection="0"/>
    <xf numFmtId="235" fontId="14" fillId="0" borderId="0" applyFill="0" applyBorder="0" applyAlignment="0" applyProtection="0"/>
    <xf numFmtId="0" fontId="22" fillId="0" borderId="0" applyFont="0" applyFill="0" applyBorder="0" applyAlignment="0" applyProtection="0"/>
    <xf numFmtId="0" fontId="106" fillId="0" borderId="0">
      <protection locked="0"/>
    </xf>
    <xf numFmtId="0" fontId="106" fillId="0" borderId="0">
      <protection locked="0"/>
    </xf>
    <xf numFmtId="0" fontId="107" fillId="0" borderId="0">
      <protection locked="0"/>
    </xf>
    <xf numFmtId="0" fontId="106" fillId="0" borderId="0">
      <protection locked="0"/>
    </xf>
    <xf numFmtId="0" fontId="106" fillId="0" borderId="0">
      <protection locked="0"/>
    </xf>
    <xf numFmtId="0" fontId="106" fillId="0" borderId="0">
      <protection locked="0"/>
    </xf>
    <xf numFmtId="0" fontId="107" fillId="0" borderId="0">
      <protection locked="0"/>
    </xf>
    <xf numFmtId="244" fontId="16" fillId="0" borderId="0">
      <protection locked="0"/>
    </xf>
    <xf numFmtId="245" fontId="16" fillId="0" borderId="0" applyFill="0" applyBorder="0" applyAlignment="0" applyProtection="0"/>
    <xf numFmtId="224" fontId="16" fillId="0" borderId="0" applyFill="0" applyBorder="0" applyAlignment="0" applyProtection="0"/>
    <xf numFmtId="181" fontId="14" fillId="0" borderId="0" applyFont="0" applyFill="0" applyBorder="0" applyAlignment="0" applyProtection="0"/>
    <xf numFmtId="38" fontId="44" fillId="0" borderId="0" applyFont="0" applyFill="0" applyBorder="0" applyAlignment="0" applyProtection="0"/>
    <xf numFmtId="40" fontId="4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108" fillId="0" borderId="0" applyNumberFormat="0" applyFont="0" applyFill="0" applyAlignment="0"/>
    <xf numFmtId="0" fontId="24" fillId="0" borderId="0"/>
    <xf numFmtId="9" fontId="44" fillId="0" borderId="19" applyNumberFormat="0" applyBorder="0"/>
    <xf numFmtId="224" fontId="16" fillId="0" borderId="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8" fontId="14" fillId="0" borderId="0" applyFont="0" applyFill="0" applyBorder="0" applyAlignment="0" applyProtection="0"/>
    <xf numFmtId="170"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84"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5" fontId="14" fillId="0" borderId="0" applyFont="0" applyFill="0" applyBorder="0" applyAlignment="0" applyProtection="0"/>
    <xf numFmtId="196" fontId="14" fillId="0" borderId="0" applyFont="0" applyFill="0" applyBorder="0" applyAlignment="0" applyProtection="0"/>
    <xf numFmtId="184" fontId="14" fillId="0" borderId="0" applyFont="0" applyFill="0" applyBorder="0" applyAlignment="0" applyProtection="0"/>
    <xf numFmtId="196" fontId="1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75"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75"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75"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81" fontId="14" fillId="0" borderId="0" applyFont="0" applyFill="0" applyBorder="0" applyAlignment="0" applyProtection="0"/>
    <xf numFmtId="196" fontId="14" fillId="0" borderId="0" applyFont="0" applyFill="0" applyBorder="0" applyAlignment="0" applyProtection="0"/>
    <xf numFmtId="166" fontId="14" fillId="0" borderId="0" applyFont="0" applyFill="0" applyBorder="0" applyAlignment="0" applyProtection="0"/>
    <xf numFmtId="239" fontId="14" fillId="0" borderId="0" applyFont="0" applyFill="0" applyBorder="0" applyAlignment="0" applyProtection="0"/>
    <xf numFmtId="214" fontId="14" fillId="0" borderId="0" applyFont="0" applyFill="0" applyBorder="0" applyAlignment="0" applyProtection="0"/>
    <xf numFmtId="239" fontId="14" fillId="0" borderId="0" applyFont="0" applyFill="0" applyBorder="0" applyAlignment="0" applyProtection="0"/>
    <xf numFmtId="239" fontId="14" fillId="0" borderId="0" applyFont="0" applyFill="0" applyBorder="0" applyAlignment="0" applyProtection="0"/>
    <xf numFmtId="184"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5"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31" fontId="14" fillId="0" borderId="0" applyFont="0" applyFill="0" applyBorder="0" applyAlignment="0" applyProtection="0"/>
    <xf numFmtId="198" fontId="14" fillId="0" borderId="13">
      <alignment horizontal="right" vertical="center"/>
    </xf>
    <xf numFmtId="198" fontId="14" fillId="0" borderId="13">
      <alignment horizontal="right" vertical="center"/>
    </xf>
    <xf numFmtId="198" fontId="14" fillId="0" borderId="13">
      <alignment horizontal="right" vertical="center"/>
    </xf>
    <xf numFmtId="173" fontId="33" fillId="0" borderId="13">
      <alignment horizontal="right" vertical="center"/>
    </xf>
    <xf numFmtId="203" fontId="24" fillId="0" borderId="13">
      <alignment horizontal="right" vertical="center"/>
    </xf>
    <xf numFmtId="172" fontId="34" fillId="0" borderId="13">
      <alignment horizontal="right" vertical="center"/>
    </xf>
    <xf numFmtId="173" fontId="33" fillId="0" borderId="13">
      <alignment horizontal="right" vertical="center"/>
    </xf>
    <xf numFmtId="173" fontId="33" fillId="0" borderId="13">
      <alignment horizontal="right" vertical="center"/>
    </xf>
    <xf numFmtId="3" fontId="109" fillId="32" borderId="8" applyFill="0" applyAlignment="0" applyProtection="0">
      <alignment horizontal="justify" vertical="center"/>
    </xf>
    <xf numFmtId="208" fontId="20" fillId="0" borderId="78"/>
    <xf numFmtId="208" fontId="20" fillId="0" borderId="78"/>
    <xf numFmtId="208" fontId="20" fillId="0" borderId="78"/>
    <xf numFmtId="0" fontId="14" fillId="0" borderId="0"/>
    <xf numFmtId="0" fontId="14" fillId="0" borderId="0"/>
    <xf numFmtId="0" fontId="110" fillId="0" borderId="0" applyFont="0" applyFill="0" applyBorder="0" applyAlignment="0" applyProtection="0"/>
    <xf numFmtId="0" fontId="110" fillId="0" borderId="0" applyFont="0" applyFill="0" applyBorder="0" applyAlignment="0" applyProtection="0"/>
    <xf numFmtId="0" fontId="13" fillId="0" borderId="0">
      <alignment vertical="center"/>
    </xf>
    <xf numFmtId="0" fontId="111" fillId="0" borderId="0" applyFont="0" applyFill="0" applyBorder="0" applyAlignment="0" applyProtection="0"/>
    <xf numFmtId="0" fontId="111" fillId="0" borderId="0" applyFont="0" applyFill="0" applyBorder="0" applyAlignment="0" applyProtection="0"/>
    <xf numFmtId="0" fontId="112" fillId="0" borderId="0" applyProtection="0"/>
    <xf numFmtId="40" fontId="45" fillId="0" borderId="0" applyFont="0" applyFill="0" applyBorder="0" applyAlignment="0" applyProtection="0"/>
    <xf numFmtId="164" fontId="45" fillId="0" borderId="0" applyFont="0" applyFill="0" applyBorder="0" applyAlignment="0" applyProtection="0"/>
    <xf numFmtId="0" fontId="6" fillId="0" borderId="0">
      <alignment vertical="top"/>
    </xf>
    <xf numFmtId="224" fontId="24" fillId="0" borderId="0" applyFill="0" applyBorder="0" applyAlignment="0" applyProtection="0"/>
    <xf numFmtId="247" fontId="24" fillId="0" borderId="0" applyFill="0" applyBorder="0" applyAlignment="0" applyProtection="0"/>
    <xf numFmtId="204" fontId="14" fillId="0" borderId="0" applyFont="0" applyFill="0" applyBorder="0" applyAlignment="0" applyProtection="0"/>
    <xf numFmtId="0" fontId="18" fillId="0" borderId="79"/>
    <xf numFmtId="0" fontId="18" fillId="0" borderId="79"/>
    <xf numFmtId="0" fontId="102" fillId="0" borderId="0">
      <alignment vertical="top"/>
    </xf>
    <xf numFmtId="230" fontId="24" fillId="0" borderId="0" applyFill="0" applyBorder="0" applyAlignment="0" applyProtection="0"/>
    <xf numFmtId="42" fontId="14" fillId="0" borderId="0" applyFont="0" applyFill="0" applyBorder="0" applyAlignment="0" applyProtection="0"/>
    <xf numFmtId="0" fontId="18" fillId="0" borderId="79"/>
    <xf numFmtId="204" fontId="14" fillId="0" borderId="0" applyFont="0" applyFill="0" applyBorder="0" applyAlignment="0" applyProtection="0"/>
    <xf numFmtId="0" fontId="18" fillId="0" borderId="79"/>
    <xf numFmtId="180" fontId="16" fillId="0" borderId="0" applyFont="0" applyFill="0" applyBorder="0" applyAlignment="0" applyProtection="0"/>
    <xf numFmtId="179" fontId="14" fillId="0" borderId="0" applyFont="0" applyFill="0" applyBorder="0" applyAlignment="0" applyProtection="0"/>
    <xf numFmtId="204" fontId="14" fillId="0" borderId="0" applyFont="0" applyFill="0" applyBorder="0" applyAlignment="0" applyProtection="0"/>
    <xf numFmtId="0" fontId="18" fillId="0" borderId="79"/>
    <xf numFmtId="0" fontId="24" fillId="0" borderId="0"/>
    <xf numFmtId="0" fontId="102" fillId="0" borderId="0">
      <alignment vertical="top"/>
    </xf>
    <xf numFmtId="204" fontId="14" fillId="0" borderId="0" applyFont="0" applyFill="0" applyBorder="0" applyAlignment="0" applyProtection="0"/>
    <xf numFmtId="204" fontId="14" fillId="0" borderId="0" applyFont="0" applyFill="0" applyBorder="0" applyAlignment="0" applyProtection="0"/>
    <xf numFmtId="232" fontId="24" fillId="0" borderId="0" applyFill="0" applyBorder="0" applyAlignment="0" applyProtection="0"/>
    <xf numFmtId="248" fontId="24" fillId="0" borderId="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245" fontId="24" fillId="0" borderId="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46" fontId="24" fillId="0" borderId="0" applyFill="0" applyBorder="0" applyAlignment="0" applyProtection="0"/>
    <xf numFmtId="204" fontId="14" fillId="0" borderId="0" applyFont="0" applyFill="0" applyBorder="0" applyAlignment="0" applyProtection="0"/>
    <xf numFmtId="230" fontId="24" fillId="0" borderId="0" applyFill="0" applyBorder="0" applyAlignment="0" applyProtection="0"/>
    <xf numFmtId="42" fontId="14" fillId="0" borderId="0" applyFont="0" applyFill="0" applyBorder="0" applyAlignment="0" applyProtection="0"/>
    <xf numFmtId="180" fontId="16" fillId="0" borderId="0" applyFont="0" applyFill="0" applyBorder="0" applyAlignment="0" applyProtection="0"/>
    <xf numFmtId="247" fontId="24" fillId="0" borderId="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245" fontId="24" fillId="0" borderId="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48" fontId="24" fillId="0" borderId="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224" fontId="24" fillId="0" borderId="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230" fontId="24" fillId="0" borderId="0" applyFill="0" applyBorder="0" applyAlignment="0" applyProtection="0"/>
    <xf numFmtId="42" fontId="14" fillId="0" borderId="0" applyFont="0" applyFill="0" applyBorder="0" applyAlignment="0" applyProtection="0"/>
    <xf numFmtId="180" fontId="16" fillId="0" borderId="0" applyFont="0" applyFill="0" applyBorder="0" applyAlignment="0" applyProtection="0"/>
    <xf numFmtId="247" fontId="24" fillId="0" borderId="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46" fontId="24" fillId="0" borderId="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224" fontId="24" fillId="0" borderId="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245" fontId="24" fillId="0" borderId="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46" fontId="24" fillId="0" borderId="0" applyFill="0" applyBorder="0" applyAlignment="0" applyProtection="0"/>
    <xf numFmtId="232" fontId="24" fillId="0" borderId="0" applyFill="0" applyBorder="0" applyAlignment="0" applyProtection="0"/>
    <xf numFmtId="248" fontId="24" fillId="0" borderId="0" applyFill="0" applyBorder="0" applyAlignment="0" applyProtection="0"/>
    <xf numFmtId="179" fontId="16" fillId="0" borderId="0" applyFont="0" applyFill="0" applyBorder="0" applyAlignment="0" applyProtection="0"/>
    <xf numFmtId="0" fontId="102" fillId="0" borderId="0">
      <alignment vertical="top"/>
    </xf>
    <xf numFmtId="179" fontId="16" fillId="0" borderId="0" applyFont="0" applyFill="0" applyBorder="0" applyAlignment="0" applyProtection="0"/>
    <xf numFmtId="0" fontId="102" fillId="0" borderId="0">
      <alignment vertical="top"/>
    </xf>
    <xf numFmtId="204" fontId="14" fillId="0" borderId="0" applyFont="0" applyFill="0" applyBorder="0" applyAlignment="0" applyProtection="0"/>
    <xf numFmtId="179" fontId="16"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224" fontId="24" fillId="0" borderId="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205" fontId="14" fillId="0" borderId="0" applyFont="0" applyFill="0" applyBorder="0" applyAlignment="0" applyProtection="0"/>
    <xf numFmtId="177" fontId="14" fillId="0" borderId="0" applyFont="0" applyFill="0" applyBorder="0" applyAlignment="0" applyProtection="0"/>
    <xf numFmtId="245" fontId="24" fillId="0" borderId="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05" fontId="14" fillId="0" borderId="0" applyFont="0" applyFill="0" applyBorder="0" applyAlignment="0" applyProtection="0"/>
    <xf numFmtId="232" fontId="24" fillId="0" borderId="0" applyFill="0" applyBorder="0" applyAlignment="0" applyProtection="0"/>
    <xf numFmtId="248" fontId="24" fillId="0" borderId="0" applyFill="0" applyBorder="0" applyAlignment="0" applyProtection="0"/>
    <xf numFmtId="246" fontId="24" fillId="0" borderId="0" applyFill="0" applyBorder="0" applyAlignment="0" applyProtection="0"/>
    <xf numFmtId="0" fontId="18" fillId="0" borderId="79"/>
    <xf numFmtId="204" fontId="14" fillId="0" borderId="0" applyFont="0" applyFill="0" applyBorder="0" applyAlignment="0" applyProtection="0"/>
    <xf numFmtId="0" fontId="16" fillId="0" borderId="0"/>
    <xf numFmtId="43" fontId="14" fillId="0" borderId="0" applyFont="0" applyFill="0" applyBorder="0" applyAlignment="0" applyProtection="0"/>
    <xf numFmtId="43" fontId="113" fillId="0" borderId="0" applyFont="0" applyFill="0" applyBorder="0" applyAlignment="0" applyProtection="0"/>
    <xf numFmtId="43" fontId="117" fillId="0" borderId="0" applyFont="0" applyFill="0" applyBorder="0" applyAlignment="0" applyProtection="0"/>
    <xf numFmtId="245" fontId="24" fillId="0" borderId="0" applyFill="0" applyBorder="0" applyAlignment="0" applyProtection="0"/>
    <xf numFmtId="224" fontId="24" fillId="0" borderId="0" applyFill="0" applyBorder="0" applyAlignment="0" applyProtection="0"/>
    <xf numFmtId="0" fontId="113" fillId="0" borderId="0"/>
    <xf numFmtId="0" fontId="115" fillId="0" borderId="0"/>
    <xf numFmtId="0" fontId="13" fillId="0" borderId="0"/>
    <xf numFmtId="0" fontId="114" fillId="0" borderId="0">
      <alignment vertical="top"/>
    </xf>
    <xf numFmtId="0" fontId="6" fillId="0" borderId="0">
      <alignment vertical="top"/>
    </xf>
    <xf numFmtId="224" fontId="24" fillId="0" borderId="0" applyFill="0" applyBorder="0" applyAlignment="0" applyProtection="0"/>
    <xf numFmtId="216" fontId="14" fillId="0" borderId="0" applyFont="0" applyFill="0" applyBorder="0" applyAlignment="0" applyProtection="0"/>
    <xf numFmtId="218" fontId="16" fillId="0" borderId="0" applyFont="0" applyFill="0" applyBorder="0" applyAlignment="0" applyProtection="0"/>
    <xf numFmtId="174" fontId="14" fillId="0" borderId="0" applyFont="0" applyFill="0" applyBorder="0" applyAlignment="0" applyProtection="0"/>
    <xf numFmtId="216" fontId="14" fillId="0" borderId="0" applyFont="0" applyFill="0" applyBorder="0" applyAlignment="0" applyProtection="0"/>
    <xf numFmtId="213" fontId="16" fillId="0" borderId="0" applyFont="0" applyFill="0" applyBorder="0" applyAlignment="0" applyProtection="0"/>
    <xf numFmtId="174" fontId="14" fillId="0" borderId="0" applyFont="0" applyFill="0" applyBorder="0" applyAlignment="0" applyProtection="0"/>
    <xf numFmtId="191"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41" fontId="14" fillId="0" borderId="0" applyFont="0" applyFill="0" applyBorder="0" applyAlignment="0" applyProtection="0"/>
    <xf numFmtId="195" fontId="14" fillId="0" borderId="0" applyFont="0" applyFill="0" applyBorder="0" applyAlignment="0" applyProtection="0"/>
    <xf numFmtId="174" fontId="16"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79" fontId="14" fillId="0" borderId="0" applyFont="0" applyFill="0" applyBorder="0" applyAlignment="0" applyProtection="0"/>
    <xf numFmtId="204" fontId="14" fillId="0" borderId="0" applyFont="0" applyFill="0" applyBorder="0" applyAlignment="0" applyProtection="0"/>
    <xf numFmtId="196" fontId="14" fillId="0" borderId="0" applyFont="0" applyFill="0" applyBorder="0" applyAlignment="0" applyProtection="0"/>
    <xf numFmtId="195" fontId="14" fillId="0" borderId="0" applyFont="0" applyFill="0" applyBorder="0" applyAlignment="0" applyProtection="0"/>
    <xf numFmtId="179" fontId="14" fillId="0" borderId="0" applyFont="0" applyFill="0" applyBorder="0" applyAlignment="0" applyProtection="0"/>
    <xf numFmtId="42" fontId="14" fillId="0" borderId="0" applyFont="0" applyFill="0" applyBorder="0" applyAlignment="0" applyProtection="0"/>
    <xf numFmtId="174" fontId="14" fillId="0" borderId="0" applyFont="0" applyFill="0" applyBorder="0" applyAlignment="0" applyProtection="0"/>
    <xf numFmtId="216" fontId="14" fillId="0" borderId="0" applyFont="0" applyFill="0" applyBorder="0" applyAlignment="0" applyProtection="0"/>
    <xf numFmtId="218" fontId="16" fillId="0" borderId="0" applyFont="0" applyFill="0" applyBorder="0" applyAlignment="0" applyProtection="0"/>
    <xf numFmtId="174" fontId="14" fillId="0" borderId="0" applyFont="0" applyFill="0" applyBorder="0" applyAlignment="0" applyProtection="0"/>
    <xf numFmtId="216" fontId="14" fillId="0" borderId="0" applyFont="0" applyFill="0" applyBorder="0" applyAlignment="0" applyProtection="0"/>
    <xf numFmtId="213" fontId="16" fillId="0" borderId="0" applyFont="0" applyFill="0" applyBorder="0" applyAlignment="0" applyProtection="0"/>
    <xf numFmtId="175" fontId="14" fillId="0" borderId="0" applyFont="0" applyFill="0" applyBorder="0" applyAlignment="0" applyProtection="0"/>
    <xf numFmtId="191" fontId="14" fillId="0" borderId="0" applyFont="0" applyFill="0" applyBorder="0" applyAlignment="0" applyProtection="0"/>
    <xf numFmtId="204" fontId="14" fillId="0" borderId="0" applyFont="0" applyFill="0" applyBorder="0" applyAlignment="0" applyProtection="0"/>
    <xf numFmtId="184" fontId="14" fillId="0" borderId="0" applyFont="0" applyFill="0" applyBorder="0" applyAlignment="0" applyProtection="0"/>
    <xf numFmtId="196" fontId="14" fillId="0" borderId="0" applyFont="0" applyFill="0" applyBorder="0" applyAlignment="0" applyProtection="0"/>
    <xf numFmtId="44" fontId="16" fillId="0" borderId="0" applyFont="0" applyFill="0" applyBorder="0" applyAlignment="0" applyProtection="0"/>
    <xf numFmtId="196" fontId="14" fillId="0" borderId="0" applyFont="0" applyFill="0" applyBorder="0" applyAlignment="0" applyProtection="0"/>
    <xf numFmtId="166" fontId="14" fillId="0" borderId="0" applyFont="0" applyFill="0" applyBorder="0" applyAlignment="0" applyProtection="0"/>
    <xf numFmtId="214" fontId="14" fillId="0" borderId="0" applyFont="0" applyFill="0" applyBorder="0" applyAlignment="0" applyProtection="0"/>
    <xf numFmtId="184" fontId="14" fillId="0" borderId="0" applyFont="0" applyFill="0" applyBorder="0" applyAlignment="0" applyProtection="0"/>
    <xf numFmtId="175"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92"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84"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4" fontId="14" fillId="0" borderId="0" applyFont="0" applyFill="0" applyBorder="0" applyAlignment="0" applyProtection="0"/>
    <xf numFmtId="41"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184" fontId="14" fillId="0" borderId="0" applyFont="0" applyFill="0" applyBorder="0" applyAlignment="0" applyProtection="0"/>
    <xf numFmtId="196" fontId="14" fillId="0" borderId="0" applyFont="0" applyFill="0" applyBorder="0" applyAlignment="0" applyProtection="0"/>
    <xf numFmtId="44" fontId="16"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166" fontId="14" fillId="0" borderId="0" applyFont="0" applyFill="0" applyBorder="0" applyAlignment="0" applyProtection="0"/>
    <xf numFmtId="214" fontId="14" fillId="0" borderId="0" applyFont="0" applyFill="0" applyBorder="0" applyAlignment="0" applyProtection="0"/>
    <xf numFmtId="184" fontId="14" fillId="0" borderId="0" applyFont="0" applyFill="0" applyBorder="0" applyAlignment="0" applyProtection="0"/>
    <xf numFmtId="175" fontId="14" fillId="0" borderId="0" applyFont="0" applyFill="0" applyBorder="0" applyAlignment="0" applyProtection="0"/>
    <xf numFmtId="196"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92"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5" fontId="14" fillId="0" borderId="0" applyFont="0" applyFill="0" applyBorder="0" applyAlignment="0" applyProtection="0"/>
    <xf numFmtId="41" fontId="14" fillId="0" borderId="0" applyFont="0" applyFill="0" applyBorder="0" applyAlignment="0" applyProtection="0"/>
    <xf numFmtId="179" fontId="14" fillId="0" borderId="0" applyFont="0" applyFill="0" applyBorder="0" applyAlignment="0" applyProtection="0"/>
    <xf numFmtId="204" fontId="14" fillId="0" borderId="0" applyFont="0" applyFill="0" applyBorder="0" applyAlignment="0" applyProtection="0"/>
    <xf numFmtId="204" fontId="14" fillId="0" borderId="0" applyFont="0" applyFill="0" applyBorder="0" applyAlignment="0" applyProtection="0"/>
    <xf numFmtId="195" fontId="14" fillId="0" borderId="0" applyFont="0" applyFill="0" applyBorder="0" applyAlignment="0" applyProtection="0"/>
    <xf numFmtId="175" fontId="14" fillId="0" borderId="0" applyFont="0" applyFill="0" applyBorder="0" applyAlignment="0" applyProtection="0"/>
    <xf numFmtId="42" fontId="14" fillId="0" borderId="0" applyFont="0" applyFill="0" applyBorder="0" applyAlignment="0" applyProtection="0"/>
    <xf numFmtId="174" fontId="16"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95" fontId="14" fillId="0" borderId="0" applyFont="0" applyFill="0" applyBorder="0" applyAlignment="0" applyProtection="0"/>
    <xf numFmtId="179" fontId="14" fillId="0" borderId="0" applyFont="0" applyFill="0" applyBorder="0" applyAlignment="0" applyProtection="0"/>
    <xf numFmtId="42" fontId="14" fillId="0" borderId="0" applyFont="0" applyFill="0" applyBorder="0" applyAlignment="0" applyProtection="0"/>
    <xf numFmtId="174" fontId="14" fillId="0" borderId="0" applyFont="0" applyFill="0" applyBorder="0" applyAlignment="0" applyProtection="0"/>
    <xf numFmtId="173" fontId="33"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198" fontId="14" fillId="0" borderId="13">
      <alignment horizontal="right" vertical="center"/>
    </xf>
    <xf numFmtId="173" fontId="33" fillId="0" borderId="13">
      <alignment horizontal="right" vertical="center"/>
    </xf>
    <xf numFmtId="173" fontId="33" fillId="0" borderId="13">
      <alignment horizontal="right" vertical="center"/>
    </xf>
    <xf numFmtId="203" fontId="24" fillId="0" borderId="13">
      <alignment horizontal="right" vertical="center"/>
    </xf>
    <xf numFmtId="203" fontId="116" fillId="0" borderId="13">
      <alignment horizontal="right" vertical="center"/>
    </xf>
    <xf numFmtId="203" fontId="24" fillId="0" borderId="13">
      <alignment horizontal="right" vertical="center"/>
    </xf>
    <xf numFmtId="203" fontId="24" fillId="0" borderId="13">
      <alignment horizontal="right" vertical="center"/>
    </xf>
    <xf numFmtId="203" fontId="24" fillId="0" borderId="13">
      <alignment horizontal="right" vertical="center"/>
    </xf>
    <xf numFmtId="203" fontId="24" fillId="0" borderId="13">
      <alignment horizontal="right" vertical="center"/>
    </xf>
    <xf numFmtId="203" fontId="24" fillId="0" borderId="13">
      <alignment horizontal="right" vertical="center"/>
    </xf>
    <xf numFmtId="203" fontId="24" fillId="0" borderId="13">
      <alignment horizontal="right" vertical="center"/>
    </xf>
    <xf numFmtId="203" fontId="24" fillId="0" borderId="13">
      <alignment horizontal="right" vertical="center"/>
    </xf>
    <xf numFmtId="203" fontId="24" fillId="0" borderId="13">
      <alignment horizontal="right" vertical="center"/>
    </xf>
    <xf numFmtId="203" fontId="24" fillId="0" borderId="13">
      <alignment horizontal="right" vertical="center"/>
    </xf>
    <xf numFmtId="203" fontId="24" fillId="0" borderId="13">
      <alignment horizontal="right" vertical="center"/>
    </xf>
    <xf numFmtId="203" fontId="24" fillId="0" borderId="13">
      <alignment horizontal="right" vertical="center"/>
    </xf>
    <xf numFmtId="173" fontId="33" fillId="0" borderId="13">
      <alignment horizontal="right" vertical="center"/>
    </xf>
    <xf numFmtId="249" fontId="33" fillId="0" borderId="80">
      <alignment horizontal="right" vertical="center"/>
    </xf>
    <xf numFmtId="249" fontId="33" fillId="0" borderId="80">
      <alignment horizontal="right" vertical="center"/>
    </xf>
    <xf numFmtId="249" fontId="33" fillId="0" borderId="80">
      <alignment horizontal="right" vertical="center"/>
    </xf>
    <xf numFmtId="249" fontId="33" fillId="0" borderId="80">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172" fontId="34" fillId="0" borderId="13">
      <alignment horizontal="right" vertical="center"/>
    </xf>
    <xf numFmtId="172" fontId="34" fillId="0" borderId="13">
      <alignment horizontal="right" vertical="center"/>
    </xf>
    <xf numFmtId="172" fontId="34"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173" fontId="33" fillId="0" borderId="13">
      <alignment horizontal="right" vertical="center"/>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24" fillId="0" borderId="0"/>
    <xf numFmtId="0" fontId="34" fillId="0" borderId="0"/>
    <xf numFmtId="0" fontId="49" fillId="0" borderId="0"/>
    <xf numFmtId="0" fontId="49" fillId="0" borderId="0"/>
    <xf numFmtId="0" fontId="16" fillId="0" borderId="0"/>
    <xf numFmtId="0" fontId="24" fillId="0" borderId="0"/>
    <xf numFmtId="0" fontId="13" fillId="0" borderId="0"/>
    <xf numFmtId="0" fontId="18" fillId="0" borderId="0"/>
    <xf numFmtId="0" fontId="1" fillId="0" borderId="0"/>
    <xf numFmtId="0" fontId="1" fillId="0" borderId="0"/>
    <xf numFmtId="0" fontId="14" fillId="0" borderId="0">
      <alignment vertical="top"/>
    </xf>
    <xf numFmtId="0" fontId="16" fillId="0" borderId="0"/>
    <xf numFmtId="0" fontId="64" fillId="0" borderId="0"/>
    <xf numFmtId="0" fontId="44" fillId="0" borderId="0"/>
  </cellStyleXfs>
  <cellXfs count="1219">
    <xf numFmtId="0" fontId="0" fillId="0" borderId="0" xfId="0"/>
    <xf numFmtId="0" fontId="8" fillId="0" borderId="0" xfId="0" applyFont="1" applyAlignment="1">
      <alignment horizontal="center"/>
    </xf>
    <xf numFmtId="0" fontId="7" fillId="0" borderId="0" xfId="0" applyFont="1" applyAlignment="1">
      <alignment horizontal="center"/>
    </xf>
    <xf numFmtId="0" fontId="69" fillId="0" borderId="0" xfId="2380" applyFont="1" applyAlignment="1">
      <alignment horizontal="center"/>
    </xf>
    <xf numFmtId="0" fontId="9" fillId="0" borderId="0" xfId="0" applyFont="1"/>
    <xf numFmtId="0" fontId="8" fillId="0" borderId="0" xfId="0" applyFont="1" applyAlignment="1">
      <alignment horizontal="left"/>
    </xf>
    <xf numFmtId="0" fontId="13" fillId="0" borderId="0" xfId="0" applyFont="1" applyAlignment="1">
      <alignment horizontal="left"/>
    </xf>
    <xf numFmtId="0" fontId="9" fillId="0" borderId="0" xfId="0" applyFont="1" applyAlignment="1">
      <alignment horizontal="left"/>
    </xf>
    <xf numFmtId="0" fontId="8" fillId="0" borderId="0" xfId="0" applyFont="1"/>
    <xf numFmtId="0" fontId="47" fillId="0" borderId="18" xfId="2380" applyFont="1" applyBorder="1"/>
    <xf numFmtId="0" fontId="47" fillId="0" borderId="19" xfId="2380" applyFont="1" applyBorder="1"/>
    <xf numFmtId="0" fontId="47" fillId="0" borderId="20" xfId="2380" applyFont="1" applyBorder="1"/>
    <xf numFmtId="0" fontId="47" fillId="0" borderId="0" xfId="2380" applyFont="1"/>
    <xf numFmtId="0" fontId="47" fillId="0" borderId="21" xfId="2380" applyFont="1" applyBorder="1"/>
    <xf numFmtId="0" fontId="47" fillId="0" borderId="10" xfId="2380" applyFont="1" applyBorder="1"/>
    <xf numFmtId="0" fontId="47" fillId="0" borderId="22" xfId="2380" applyFont="1" applyBorder="1"/>
    <xf numFmtId="0" fontId="36" fillId="0" borderId="0" xfId="2380" applyFont="1"/>
    <xf numFmtId="0" fontId="48" fillId="0" borderId="0" xfId="2380" applyFont="1" applyAlignment="1">
      <alignment horizontal="center"/>
    </xf>
    <xf numFmtId="17" fontId="48" fillId="0" borderId="0" xfId="2380" quotePrefix="1" applyNumberFormat="1" applyFont="1" applyAlignment="1">
      <alignment horizontal="center"/>
    </xf>
    <xf numFmtId="38" fontId="55" fillId="0" borderId="0" xfId="2383" applyNumberFormat="1" applyFont="1" applyAlignment="1">
      <alignment horizontal="centerContinuous" vertical="center"/>
    </xf>
    <xf numFmtId="38" fontId="60" fillId="0" borderId="0" xfId="2383" applyNumberFormat="1" applyFont="1" applyAlignment="1">
      <alignment horizontal="centerContinuous" vertical="center"/>
    </xf>
    <xf numFmtId="0" fontId="9" fillId="0" borderId="0" xfId="0" applyFont="1" applyAlignment="1">
      <alignment vertical="center"/>
    </xf>
    <xf numFmtId="0" fontId="67" fillId="0" borderId="17" xfId="2380" applyFont="1" applyBorder="1"/>
    <xf numFmtId="0" fontId="67" fillId="0" borderId="0" xfId="2380" applyFont="1"/>
    <xf numFmtId="0" fontId="68" fillId="0" borderId="0" xfId="2380" applyFont="1" applyAlignment="1">
      <alignment horizontal="center"/>
    </xf>
    <xf numFmtId="0" fontId="67" fillId="0" borderId="16" xfId="2380" applyFont="1" applyBorder="1"/>
    <xf numFmtId="3" fontId="70" fillId="0" borderId="0" xfId="2338" applyNumberFormat="1" applyFont="1" applyBorder="1" applyAlignment="1">
      <alignment horizontal="right"/>
    </xf>
    <xf numFmtId="0" fontId="13" fillId="0" borderId="0" xfId="2380" applyFont="1"/>
    <xf numFmtId="0" fontId="13" fillId="0" borderId="8" xfId="2380" applyFont="1" applyBorder="1"/>
    <xf numFmtId="3" fontId="72" fillId="0" borderId="0" xfId="2338" applyNumberFormat="1" applyFont="1" applyBorder="1" applyAlignment="1">
      <alignment horizontal="left" vertical="center"/>
    </xf>
    <xf numFmtId="0" fontId="72" fillId="0" borderId="0" xfId="2380" applyFont="1" applyAlignment="1">
      <alignment vertical="center"/>
    </xf>
    <xf numFmtId="0" fontId="50" fillId="0" borderId="0" xfId="0" applyFont="1" applyAlignment="1">
      <alignment vertical="center"/>
    </xf>
    <xf numFmtId="0" fontId="9" fillId="22" borderId="0" xfId="0" applyFont="1" applyFill="1" applyAlignment="1">
      <alignment vertical="center"/>
    </xf>
    <xf numFmtId="1" fontId="11" fillId="22" borderId="0" xfId="2382" applyNumberFormat="1" applyFont="1" applyFill="1" applyAlignment="1">
      <alignment horizontal="center" vertical="center"/>
    </xf>
    <xf numFmtId="0" fontId="12" fillId="22" borderId="35" xfId="0" applyFont="1" applyFill="1" applyBorder="1" applyAlignment="1">
      <alignment horizontal="center" vertical="center"/>
    </xf>
    <xf numFmtId="0" fontId="12" fillId="22" borderId="36" xfId="0" applyFont="1" applyFill="1" applyBorder="1" applyAlignment="1">
      <alignment horizontal="center" vertical="center"/>
    </xf>
    <xf numFmtId="1" fontId="14" fillId="22" borderId="0" xfId="2382" applyNumberFormat="1" applyFont="1" applyFill="1" applyAlignment="1">
      <alignment horizontal="center" vertical="center"/>
    </xf>
    <xf numFmtId="1" fontId="11" fillId="22" borderId="0" xfId="2382" applyNumberFormat="1" applyFont="1" applyFill="1" applyAlignment="1">
      <alignment horizontal="left" vertical="center"/>
    </xf>
    <xf numFmtId="1" fontId="11" fillId="22" borderId="0" xfId="2382" applyNumberFormat="1" applyFont="1" applyFill="1" applyAlignment="1">
      <alignment vertical="center"/>
    </xf>
    <xf numFmtId="1" fontId="14" fillId="22" borderId="0" xfId="2382" applyNumberFormat="1" applyFont="1" applyFill="1" applyAlignment="1">
      <alignment vertical="center"/>
    </xf>
    <xf numFmtId="1" fontId="80" fillId="22" borderId="0" xfId="2382" applyNumberFormat="1" applyFont="1" applyFill="1" applyAlignment="1">
      <alignment horizontal="center" vertical="center"/>
    </xf>
    <xf numFmtId="1" fontId="80" fillId="22" borderId="0" xfId="2382" applyNumberFormat="1" applyFont="1" applyFill="1" applyAlignment="1">
      <alignment vertical="center"/>
    </xf>
    <xf numFmtId="0" fontId="12" fillId="22" borderId="37" xfId="0" applyFont="1" applyFill="1" applyBorder="1" applyAlignment="1">
      <alignment horizontal="center" vertical="center"/>
    </xf>
    <xf numFmtId="0" fontId="12" fillId="22" borderId="38" xfId="0" applyFont="1" applyFill="1" applyBorder="1" applyAlignment="1">
      <alignment horizontal="center" vertical="center"/>
    </xf>
    <xf numFmtId="0" fontId="12" fillId="22" borderId="39" xfId="0" applyFont="1" applyFill="1" applyBorder="1" applyAlignment="1">
      <alignment horizontal="center" vertical="center"/>
    </xf>
    <xf numFmtId="0" fontId="12" fillId="22" borderId="40" xfId="0" applyFont="1" applyFill="1" applyBorder="1" applyAlignment="1">
      <alignment horizontal="center" vertical="center"/>
    </xf>
    <xf numFmtId="0" fontId="12" fillId="22" borderId="41" xfId="0" applyFont="1" applyFill="1" applyBorder="1" applyAlignment="1">
      <alignment horizontal="center" vertical="center"/>
    </xf>
    <xf numFmtId="1" fontId="14" fillId="22" borderId="0" xfId="2382" applyNumberFormat="1" applyFont="1" applyFill="1" applyAlignment="1">
      <alignment horizontal="left" vertical="center"/>
    </xf>
    <xf numFmtId="38" fontId="51" fillId="0" borderId="8" xfId="2383" applyNumberFormat="1" applyFont="1" applyBorder="1" applyAlignment="1">
      <alignment vertical="center" wrapText="1"/>
    </xf>
    <xf numFmtId="38" fontId="50" fillId="0" borderId="8" xfId="2383" applyNumberFormat="1" applyFont="1" applyBorder="1" applyAlignment="1">
      <alignment horizontal="centerContinuous" vertical="center" wrapText="1"/>
    </xf>
    <xf numFmtId="0" fontId="51" fillId="0" borderId="0" xfId="0" applyFont="1" applyAlignment="1">
      <alignment vertical="center"/>
    </xf>
    <xf numFmtId="0" fontId="50" fillId="28" borderId="0" xfId="0" applyFont="1" applyFill="1" applyAlignment="1">
      <alignment vertical="center"/>
    </xf>
    <xf numFmtId="3" fontId="9" fillId="22" borderId="0" xfId="0" applyNumberFormat="1" applyFont="1" applyFill="1" applyAlignment="1">
      <alignment vertical="center"/>
    </xf>
    <xf numFmtId="207" fontId="12" fillId="22" borderId="38" xfId="0" applyNumberFormat="1" applyFont="1" applyFill="1" applyBorder="1" applyAlignment="1">
      <alignment horizontal="center" vertical="center"/>
    </xf>
    <xf numFmtId="207" fontId="12" fillId="22" borderId="40" xfId="0" applyNumberFormat="1" applyFont="1" applyFill="1" applyBorder="1" applyAlignment="1">
      <alignment horizontal="center" vertical="center"/>
    </xf>
    <xf numFmtId="207" fontId="12" fillId="22" borderId="36" xfId="0" applyNumberFormat="1" applyFont="1" applyFill="1" applyBorder="1" applyAlignment="1">
      <alignment horizontal="center" vertical="center"/>
    </xf>
    <xf numFmtId="207" fontId="12" fillId="22" borderId="49" xfId="0" applyNumberFormat="1" applyFont="1" applyFill="1" applyBorder="1" applyAlignment="1">
      <alignment horizontal="center" vertical="center"/>
    </xf>
    <xf numFmtId="207" fontId="12" fillId="22" borderId="50" xfId="0" applyNumberFormat="1" applyFont="1" applyFill="1" applyBorder="1" applyAlignment="1">
      <alignment horizontal="center" vertical="center"/>
    </xf>
    <xf numFmtId="0" fontId="12" fillId="22" borderId="49" xfId="0" applyFont="1" applyFill="1" applyBorder="1" applyAlignment="1">
      <alignment horizontal="center" vertical="center"/>
    </xf>
    <xf numFmtId="207" fontId="12" fillId="22" borderId="35" xfId="0" applyNumberFormat="1" applyFont="1" applyFill="1" applyBorder="1" applyAlignment="1">
      <alignment horizontal="center" vertical="center"/>
    </xf>
    <xf numFmtId="0" fontId="82" fillId="22" borderId="1" xfId="0" applyFont="1" applyFill="1" applyBorder="1" applyAlignment="1">
      <alignment horizontal="left" vertical="center" wrapText="1"/>
    </xf>
    <xf numFmtId="207" fontId="12" fillId="22" borderId="53" xfId="0" applyNumberFormat="1" applyFont="1" applyFill="1" applyBorder="1" applyAlignment="1">
      <alignment horizontal="center" vertical="center"/>
    </xf>
    <xf numFmtId="0" fontId="12" fillId="22" borderId="53" xfId="0" applyFont="1" applyFill="1" applyBorder="1" applyAlignment="1">
      <alignment horizontal="center" vertical="center"/>
    </xf>
    <xf numFmtId="1" fontId="12" fillId="22" borderId="0" xfId="2382" applyNumberFormat="1" applyFont="1" applyFill="1" applyAlignment="1">
      <alignment horizontal="center" vertical="center"/>
    </xf>
    <xf numFmtId="1" fontId="12" fillId="22" borderId="0" xfId="2382" applyNumberFormat="1" applyFont="1" applyFill="1" applyAlignment="1">
      <alignment vertical="center"/>
    </xf>
    <xf numFmtId="1" fontId="46" fillId="22" borderId="0" xfId="2382" applyNumberFormat="1" applyFont="1" applyFill="1" applyAlignment="1">
      <alignment vertical="center"/>
    </xf>
    <xf numFmtId="0" fontId="10" fillId="22" borderId="0" xfId="0" applyFont="1" applyFill="1" applyAlignment="1">
      <alignment vertical="center"/>
    </xf>
    <xf numFmtId="1" fontId="12" fillId="22" borderId="40" xfId="0" applyNumberFormat="1" applyFont="1" applyFill="1" applyBorder="1" applyAlignment="1">
      <alignment horizontal="center" vertical="center"/>
    </xf>
    <xf numFmtId="0" fontId="82" fillId="22" borderId="27" xfId="0" applyFont="1" applyFill="1" applyBorder="1" applyAlignment="1">
      <alignment horizontal="left" vertical="center" wrapText="1"/>
    </xf>
    <xf numFmtId="0" fontId="12" fillId="22" borderId="28" xfId="0" applyFont="1" applyFill="1" applyBorder="1" applyAlignment="1">
      <alignment horizontal="center" vertical="center"/>
    </xf>
    <xf numFmtId="1" fontId="12" fillId="22" borderId="44" xfId="2382" applyNumberFormat="1" applyFont="1" applyFill="1" applyBorder="1" applyAlignment="1">
      <alignment horizontal="center" vertical="center"/>
    </xf>
    <xf numFmtId="0" fontId="12" fillId="22" borderId="30" xfId="0" applyFont="1" applyFill="1" applyBorder="1" applyAlignment="1">
      <alignment horizontal="center" vertical="center"/>
    </xf>
    <xf numFmtId="1" fontId="12" fillId="22" borderId="29" xfId="2382" applyNumberFormat="1" applyFont="1" applyFill="1" applyBorder="1" applyAlignment="1">
      <alignment horizontal="center" vertical="center"/>
    </xf>
    <xf numFmtId="0" fontId="12" fillId="0" borderId="0" xfId="0" applyFont="1" applyAlignment="1">
      <alignment vertical="center"/>
    </xf>
    <xf numFmtId="1" fontId="12" fillId="22" borderId="32" xfId="2382" applyNumberFormat="1" applyFont="1" applyFill="1" applyBorder="1" applyAlignment="1">
      <alignment horizontal="center" vertical="center"/>
    </xf>
    <xf numFmtId="1" fontId="12" fillId="22" borderId="32" xfId="2382" applyNumberFormat="1" applyFont="1" applyFill="1" applyBorder="1" applyAlignment="1">
      <alignment vertical="center"/>
    </xf>
    <xf numFmtId="1" fontId="46" fillId="22" borderId="32" xfId="2382" applyNumberFormat="1" applyFont="1" applyFill="1" applyBorder="1" applyAlignment="1">
      <alignment vertical="center"/>
    </xf>
    <xf numFmtId="1" fontId="12" fillId="22" borderId="59" xfId="2382" applyNumberFormat="1" applyFont="1" applyFill="1" applyBorder="1" applyAlignment="1">
      <alignment horizontal="center" vertical="center"/>
    </xf>
    <xf numFmtId="1" fontId="12" fillId="22" borderId="59" xfId="2382" applyNumberFormat="1" applyFont="1" applyFill="1" applyBorder="1" applyAlignment="1">
      <alignment vertical="center"/>
    </xf>
    <xf numFmtId="1" fontId="46" fillId="22" borderId="59" xfId="2382" applyNumberFormat="1" applyFont="1" applyFill="1" applyBorder="1" applyAlignment="1">
      <alignment vertical="center"/>
    </xf>
    <xf numFmtId="0" fontId="12" fillId="22" borderId="27" xfId="0" applyFont="1" applyFill="1" applyBorder="1" applyAlignment="1">
      <alignment horizontal="center" vertical="center"/>
    </xf>
    <xf numFmtId="0" fontId="12" fillId="22" borderId="47" xfId="0" applyFont="1" applyFill="1" applyBorder="1" applyAlignment="1">
      <alignment horizontal="center" vertical="center"/>
    </xf>
    <xf numFmtId="0" fontId="12" fillId="22" borderId="1" xfId="0" applyFont="1" applyFill="1" applyBorder="1" applyAlignment="1">
      <alignment horizontal="center" vertical="center"/>
    </xf>
    <xf numFmtId="0" fontId="12" fillId="22" borderId="48" xfId="0" applyFont="1" applyFill="1" applyBorder="1" applyAlignment="1">
      <alignment horizontal="center" vertical="center"/>
    </xf>
    <xf numFmtId="0" fontId="12" fillId="22" borderId="60" xfId="0" applyFont="1" applyFill="1" applyBorder="1" applyAlignment="1">
      <alignment horizontal="center" vertical="center"/>
    </xf>
    <xf numFmtId="0" fontId="7" fillId="22" borderId="0" xfId="2386" applyFont="1" applyFill="1" applyAlignment="1">
      <alignment vertical="center" wrapText="1"/>
    </xf>
    <xf numFmtId="0" fontId="12" fillId="29" borderId="51" xfId="0" applyFont="1" applyFill="1" applyBorder="1" applyAlignment="1">
      <alignment horizontal="center" textRotation="90"/>
    </xf>
    <xf numFmtId="0" fontId="12" fillId="29" borderId="51" xfId="0" applyFont="1" applyFill="1" applyBorder="1" applyAlignment="1">
      <alignment horizontal="center" textRotation="90" wrapText="1"/>
    </xf>
    <xf numFmtId="0" fontId="98" fillId="29" borderId="51" xfId="0" applyFont="1" applyFill="1" applyBorder="1" applyAlignment="1">
      <alignment horizontal="center" textRotation="90" wrapText="1"/>
    </xf>
    <xf numFmtId="0" fontId="12" fillId="29" borderId="51" xfId="0" applyFont="1" applyFill="1" applyBorder="1" applyAlignment="1">
      <alignment horizontal="center" vertical="justify" textRotation="90" wrapText="1"/>
    </xf>
    <xf numFmtId="0" fontId="12" fillId="29" borderId="51" xfId="0" applyFont="1" applyFill="1" applyBorder="1" applyAlignment="1">
      <alignment horizontal="center" vertical="justify" textRotation="90"/>
    </xf>
    <xf numFmtId="0" fontId="12" fillId="29" borderId="61" xfId="0" applyFont="1" applyFill="1" applyBorder="1" applyAlignment="1">
      <alignment horizontal="center" vertical="justify" textRotation="90"/>
    </xf>
    <xf numFmtId="0" fontId="81" fillId="29" borderId="61" xfId="0" applyFont="1" applyFill="1" applyBorder="1" applyAlignment="1">
      <alignment horizontal="center" vertical="justify" textRotation="90"/>
    </xf>
    <xf numFmtId="0" fontId="98" fillId="29" borderId="61" xfId="0" applyFont="1" applyFill="1" applyBorder="1" applyAlignment="1">
      <alignment horizontal="center" vertical="justify" textRotation="90"/>
    </xf>
    <xf numFmtId="0" fontId="12" fillId="29" borderId="62" xfId="0" applyFont="1" applyFill="1" applyBorder="1" applyAlignment="1">
      <alignment horizontal="center" vertical="justify" textRotation="90"/>
    </xf>
    <xf numFmtId="0" fontId="12" fillId="29" borderId="8" xfId="0" applyFont="1" applyFill="1" applyBorder="1" applyAlignment="1">
      <alignment horizontal="center" textRotation="90"/>
    </xf>
    <xf numFmtId="0" fontId="12" fillId="29" borderId="52" xfId="0" applyFont="1" applyFill="1" applyBorder="1" applyAlignment="1">
      <alignment horizontal="center" textRotation="90"/>
    </xf>
    <xf numFmtId="1" fontId="12" fillId="29" borderId="63" xfId="2382" applyNumberFormat="1" applyFont="1" applyFill="1" applyBorder="1" applyAlignment="1">
      <alignment horizontal="center" vertical="center"/>
    </xf>
    <xf numFmtId="1" fontId="12" fillId="29" borderId="64" xfId="2382" applyNumberFormat="1" applyFont="1" applyFill="1" applyBorder="1" applyAlignment="1">
      <alignment horizontal="center" vertical="center"/>
    </xf>
    <xf numFmtId="207" fontId="12" fillId="29" borderId="64" xfId="2382" applyNumberFormat="1" applyFont="1" applyFill="1" applyBorder="1" applyAlignment="1">
      <alignment horizontal="center" vertical="center"/>
    </xf>
    <xf numFmtId="1" fontId="12" fillId="29" borderId="65" xfId="2382" applyNumberFormat="1" applyFont="1" applyFill="1" applyBorder="1" applyAlignment="1">
      <alignment horizontal="center" vertical="center"/>
    </xf>
    <xf numFmtId="1" fontId="12" fillId="29" borderId="58" xfId="2382" applyNumberFormat="1" applyFont="1" applyFill="1" applyBorder="1" applyAlignment="1">
      <alignment horizontal="center" vertical="center"/>
    </xf>
    <xf numFmtId="1" fontId="12" fillId="29" borderId="34" xfId="2382" applyNumberFormat="1" applyFont="1" applyFill="1" applyBorder="1" applyAlignment="1">
      <alignment horizontal="center" vertical="center"/>
    </xf>
    <xf numFmtId="1" fontId="12" fillId="29" borderId="0" xfId="2382" applyNumberFormat="1" applyFont="1" applyFill="1" applyAlignment="1">
      <alignment horizontal="center" vertical="center"/>
    </xf>
    <xf numFmtId="1" fontId="12" fillId="29" borderId="0" xfId="2382" applyNumberFormat="1" applyFont="1" applyFill="1" applyAlignment="1">
      <alignment vertical="center"/>
    </xf>
    <xf numFmtId="0" fontId="10" fillId="0" borderId="0" xfId="0" applyFont="1" applyAlignment="1">
      <alignment vertical="center"/>
    </xf>
    <xf numFmtId="0" fontId="10" fillId="0" borderId="8" xfId="0" applyFont="1" applyBorder="1" applyAlignment="1">
      <alignment horizontal="center" vertical="center"/>
    </xf>
    <xf numFmtId="3" fontId="10" fillId="0" borderId="8" xfId="0" applyNumberFormat="1" applyFont="1" applyBorder="1" applyAlignment="1">
      <alignment horizontal="center" vertical="center"/>
    </xf>
    <xf numFmtId="0" fontId="9" fillId="0" borderId="0" xfId="0" applyFont="1" applyAlignment="1">
      <alignment horizontal="center" vertical="center"/>
    </xf>
    <xf numFmtId="3" fontId="99" fillId="0" borderId="0" xfId="0" applyNumberFormat="1" applyFont="1" applyAlignment="1">
      <alignment vertical="center"/>
    </xf>
    <xf numFmtId="3" fontId="9" fillId="0" borderId="0" xfId="0" applyNumberFormat="1" applyFont="1" applyAlignment="1">
      <alignment vertical="center"/>
    </xf>
    <xf numFmtId="1" fontId="6" fillId="22" borderId="0" xfId="2382" applyNumberFormat="1" applyFont="1" applyFill="1" applyAlignment="1">
      <alignment horizontal="center" vertical="center"/>
    </xf>
    <xf numFmtId="3" fontId="72" fillId="0" borderId="0" xfId="2338" applyNumberFormat="1" applyFont="1" applyBorder="1" applyAlignment="1">
      <alignment horizontal="center" vertical="center"/>
    </xf>
    <xf numFmtId="186" fontId="9" fillId="22" borderId="0" xfId="0" applyNumberFormat="1" applyFont="1" applyFill="1" applyAlignment="1">
      <alignment vertical="center"/>
    </xf>
    <xf numFmtId="0" fontId="101" fillId="0" borderId="0" xfId="0" applyFont="1" applyAlignment="1">
      <alignment vertical="center"/>
    </xf>
    <xf numFmtId="0" fontId="101" fillId="22" borderId="0" xfId="0" applyFont="1" applyFill="1" applyAlignment="1">
      <alignment vertical="center"/>
    </xf>
    <xf numFmtId="207" fontId="8" fillId="0" borderId="0" xfId="2384" applyNumberFormat="1" applyFont="1" applyAlignment="1">
      <alignment wrapText="1"/>
    </xf>
    <xf numFmtId="1" fontId="6" fillId="0" borderId="0" xfId="2382" applyNumberFormat="1" applyFont="1" applyAlignment="1">
      <alignment horizontal="center" vertical="center"/>
    </xf>
    <xf numFmtId="1" fontId="6" fillId="0" borderId="0" xfId="2382" applyNumberFormat="1" applyFont="1" applyAlignment="1">
      <alignment horizontal="left" vertical="center"/>
    </xf>
    <xf numFmtId="1" fontId="6" fillId="0" borderId="0" xfId="2382" applyNumberFormat="1" applyFont="1" applyAlignment="1">
      <alignment vertical="center"/>
    </xf>
    <xf numFmtId="1" fontId="14" fillId="0" borderId="0" xfId="2382" applyNumberFormat="1" applyFont="1" applyAlignment="1">
      <alignment vertical="center"/>
    </xf>
    <xf numFmtId="0" fontId="7" fillId="0" borderId="0" xfId="2386" applyFont="1" applyAlignment="1">
      <alignment vertical="center" wrapText="1"/>
    </xf>
    <xf numFmtId="1" fontId="10" fillId="31" borderId="0" xfId="2382" applyNumberFormat="1" applyFont="1" applyFill="1" applyAlignment="1">
      <alignment wrapText="1"/>
    </xf>
    <xf numFmtId="1" fontId="10" fillId="31" borderId="45" xfId="2382" applyNumberFormat="1" applyFont="1" applyFill="1" applyBorder="1" applyAlignment="1">
      <alignment vertical="justify" wrapText="1"/>
    </xf>
    <xf numFmtId="1" fontId="10" fillId="31" borderId="8" xfId="2649" applyNumberFormat="1" applyFont="1" applyFill="1" applyBorder="1" applyAlignment="1">
      <alignment horizontal="center" vertical="center"/>
    </xf>
    <xf numFmtId="1" fontId="10" fillId="31" borderId="0" xfId="2382" applyNumberFormat="1" applyFont="1" applyFill="1" applyAlignment="1">
      <alignment vertical="center"/>
    </xf>
    <xf numFmtId="0" fontId="12" fillId="0" borderId="0" xfId="0" applyFont="1" applyAlignment="1">
      <alignment vertical="center" wrapText="1"/>
    </xf>
    <xf numFmtId="0" fontId="9" fillId="31" borderId="0" xfId="0" applyFont="1" applyFill="1"/>
    <xf numFmtId="0" fontId="6" fillId="31" borderId="0" xfId="0" applyFont="1" applyFill="1"/>
    <xf numFmtId="0" fontId="10" fillId="31" borderId="8" xfId="2649" applyFont="1" applyFill="1" applyBorder="1" applyAlignment="1">
      <alignment horizontal="center" textRotation="90" wrapText="1"/>
    </xf>
    <xf numFmtId="1" fontId="9" fillId="31" borderId="8" xfId="2384" applyNumberFormat="1" applyFont="1" applyFill="1" applyBorder="1" applyAlignment="1">
      <alignment horizontal="center" vertical="center"/>
    </xf>
    <xf numFmtId="1" fontId="9" fillId="31" borderId="8" xfId="2382" applyNumberFormat="1" applyFont="1" applyFill="1" applyBorder="1" applyAlignment="1">
      <alignment horizontal="center" vertical="center"/>
    </xf>
    <xf numFmtId="1" fontId="9" fillId="31" borderId="0" xfId="2382" applyNumberFormat="1" applyFont="1" applyFill="1" applyAlignment="1">
      <alignment vertical="center" wrapText="1"/>
    </xf>
    <xf numFmtId="0" fontId="9" fillId="31" borderId="0" xfId="2385" applyFont="1" applyFill="1" applyAlignment="1">
      <alignment vertical="center"/>
    </xf>
    <xf numFmtId="0" fontId="9" fillId="31" borderId="8" xfId="2649" applyFont="1" applyFill="1" applyBorder="1" applyAlignment="1">
      <alignment horizontal="left" vertical="center" wrapText="1"/>
    </xf>
    <xf numFmtId="0" fontId="9" fillId="31" borderId="8" xfId="2649" applyFont="1" applyFill="1" applyBorder="1" applyAlignment="1">
      <alignment horizontal="right" vertical="center" wrapText="1"/>
    </xf>
    <xf numFmtId="1" fontId="10" fillId="31" borderId="8" xfId="2649" applyNumberFormat="1" applyFont="1" applyFill="1" applyBorder="1" applyAlignment="1">
      <alignment horizontal="right" vertical="center"/>
    </xf>
    <xf numFmtId="1" fontId="6" fillId="22" borderId="0" xfId="2382" applyNumberFormat="1" applyFont="1" applyFill="1" applyAlignment="1">
      <alignment horizontal="left" vertical="center"/>
    </xf>
    <xf numFmtId="0" fontId="10" fillId="0" borderId="0" xfId="2386" applyFont="1" applyAlignment="1">
      <alignment vertical="center" wrapText="1"/>
    </xf>
    <xf numFmtId="1" fontId="9" fillId="0" borderId="0" xfId="2382" applyNumberFormat="1" applyFont="1" applyAlignment="1">
      <alignment horizontal="center" vertical="center"/>
    </xf>
    <xf numFmtId="1" fontId="9" fillId="0" borderId="0" xfId="2382" applyNumberFormat="1" applyFont="1" applyAlignment="1">
      <alignment vertical="center"/>
    </xf>
    <xf numFmtId="1" fontId="20" fillId="0" borderId="0" xfId="2382" applyNumberFormat="1" applyAlignment="1">
      <alignment vertical="center"/>
    </xf>
    <xf numFmtId="1" fontId="10" fillId="0" borderId="69" xfId="2384" applyNumberFormat="1" applyFont="1" applyBorder="1" applyAlignment="1">
      <alignment vertical="center" wrapText="1"/>
    </xf>
    <xf numFmtId="1" fontId="10" fillId="0" borderId="0" xfId="2382" applyNumberFormat="1" applyFont="1" applyAlignment="1">
      <alignment horizontal="center" vertical="center"/>
    </xf>
    <xf numFmtId="1" fontId="10" fillId="0" borderId="46" xfId="2384" applyNumberFormat="1" applyFont="1" applyBorder="1" applyAlignment="1">
      <alignment vertical="center" wrapText="1"/>
    </xf>
    <xf numFmtId="1" fontId="10" fillId="0" borderId="0" xfId="2382" applyNumberFormat="1" applyFont="1" applyAlignment="1">
      <alignment vertical="center"/>
    </xf>
    <xf numFmtId="1" fontId="52" fillId="0" borderId="0" xfId="2382" applyNumberFormat="1" applyFont="1" applyAlignment="1">
      <alignment vertical="center"/>
    </xf>
    <xf numFmtId="0" fontId="9" fillId="31" borderId="8" xfId="2596" applyFont="1" applyFill="1" applyBorder="1" applyAlignment="1">
      <alignment horizontal="center" vertical="center"/>
    </xf>
    <xf numFmtId="0" fontId="10" fillId="31" borderId="8" xfId="2596" applyFont="1" applyFill="1" applyBorder="1" applyAlignment="1">
      <alignment horizontal="center" vertical="center"/>
    </xf>
    <xf numFmtId="0" fontId="9" fillId="0" borderId="0" xfId="2596" applyFont="1"/>
    <xf numFmtId="1" fontId="20" fillId="0" borderId="0" xfId="2382" applyNumberFormat="1" applyAlignment="1">
      <alignment horizontal="center" vertical="center"/>
    </xf>
    <xf numFmtId="1" fontId="52" fillId="22" borderId="0" xfId="2382" applyNumberFormat="1" applyFont="1" applyFill="1" applyAlignment="1">
      <alignment horizontal="center" vertical="center"/>
    </xf>
    <xf numFmtId="1" fontId="10" fillId="22" borderId="0" xfId="2382" applyNumberFormat="1" applyFont="1" applyFill="1" applyAlignment="1">
      <alignment horizontal="center" vertical="center"/>
    </xf>
    <xf numFmtId="1" fontId="52" fillId="22" borderId="0" xfId="2382" applyNumberFormat="1" applyFont="1" applyFill="1" applyAlignment="1">
      <alignment vertical="center"/>
    </xf>
    <xf numFmtId="1" fontId="9" fillId="31" borderId="8" xfId="2382" applyNumberFormat="1" applyFont="1" applyFill="1" applyBorder="1" applyAlignment="1">
      <alignment vertical="center"/>
    </xf>
    <xf numFmtId="0" fontId="73" fillId="0" borderId="0" xfId="2380" applyFont="1" applyAlignment="1">
      <alignment horizontal="center"/>
    </xf>
    <xf numFmtId="0" fontId="75" fillId="0" borderId="0" xfId="2380" applyFont="1" applyAlignment="1">
      <alignment horizontal="center" vertical="center"/>
    </xf>
    <xf numFmtId="0" fontId="72" fillId="0" borderId="0" xfId="2380" applyFont="1" applyAlignment="1">
      <alignment horizontal="center" vertical="center"/>
    </xf>
    <xf numFmtId="38" fontId="51" fillId="0" borderId="8" xfId="2383" applyNumberFormat="1" applyFont="1" applyBorder="1" applyAlignment="1">
      <alignment horizontal="center" vertical="center" wrapText="1"/>
    </xf>
    <xf numFmtId="0" fontId="10" fillId="0" borderId="0" xfId="0" applyFont="1" applyAlignment="1">
      <alignment horizontal="center" vertical="center"/>
    </xf>
    <xf numFmtId="0" fontId="118" fillId="22" borderId="0" xfId="0" applyFont="1" applyFill="1" applyAlignment="1">
      <alignment vertical="center"/>
    </xf>
    <xf numFmtId="0" fontId="9" fillId="0" borderId="0" xfId="2387" applyFont="1" applyAlignment="1">
      <alignment vertical="center"/>
    </xf>
    <xf numFmtId="0" fontId="77" fillId="31" borderId="0" xfId="0" applyFont="1" applyFill="1" applyAlignment="1">
      <alignment vertical="center"/>
    </xf>
    <xf numFmtId="0" fontId="9" fillId="31" borderId="0" xfId="0" applyFont="1" applyFill="1" applyAlignment="1">
      <alignment vertical="center"/>
    </xf>
    <xf numFmtId="38" fontId="51" fillId="0" borderId="8" xfId="2383" applyNumberFormat="1" applyFont="1" applyBorder="1" applyAlignment="1">
      <alignment horizontal="center" vertical="center"/>
    </xf>
    <xf numFmtId="38" fontId="51" fillId="0" borderId="8" xfId="2383" applyNumberFormat="1" applyFont="1" applyBorder="1" applyAlignment="1">
      <alignment horizontal="centerContinuous" vertical="center" wrapText="1"/>
    </xf>
    <xf numFmtId="3" fontId="51" fillId="0" borderId="8" xfId="2383" applyNumberFormat="1" applyFont="1" applyBorder="1" applyAlignment="1">
      <alignment horizontal="right" vertical="center"/>
    </xf>
    <xf numFmtId="1" fontId="50" fillId="0" borderId="8" xfId="0" applyNumberFormat="1" applyFont="1" applyBorder="1" applyAlignment="1">
      <alignment horizontal="center" vertical="center"/>
    </xf>
    <xf numFmtId="38" fontId="50" fillId="0" borderId="8" xfId="2383" applyNumberFormat="1" applyFont="1" applyBorder="1" applyAlignment="1">
      <alignment horizontal="left" vertical="center" wrapText="1"/>
    </xf>
    <xf numFmtId="38" fontId="120" fillId="0" borderId="8" xfId="2383" applyNumberFormat="1" applyFont="1" applyBorder="1" applyAlignment="1">
      <alignment horizontal="centerContinuous" vertical="center" wrapText="1"/>
    </xf>
    <xf numFmtId="38" fontId="50" fillId="0" borderId="8" xfId="2383" applyNumberFormat="1" applyFont="1" applyBorder="1" applyAlignment="1">
      <alignment horizontal="centerContinuous" vertical="center"/>
    </xf>
    <xf numFmtId="38" fontId="51" fillId="0" borderId="8" xfId="2383" applyNumberFormat="1" applyFont="1" applyBorder="1" applyAlignment="1">
      <alignment horizontal="left" vertical="center" wrapText="1"/>
    </xf>
    <xf numFmtId="38" fontId="51" fillId="0" borderId="8" xfId="2383" applyNumberFormat="1" applyFont="1" applyBorder="1" applyAlignment="1">
      <alignment horizontal="centerContinuous" vertical="center"/>
    </xf>
    <xf numFmtId="1" fontId="51" fillId="0" borderId="8" xfId="0" applyNumberFormat="1" applyFont="1" applyBorder="1" applyAlignment="1">
      <alignment horizontal="center" vertical="center"/>
    </xf>
    <xf numFmtId="3" fontId="50" fillId="0" borderId="8" xfId="2383" applyNumberFormat="1" applyFont="1" applyBorder="1" applyAlignment="1">
      <alignment horizontal="right" vertical="center"/>
    </xf>
    <xf numFmtId="38" fontId="50" fillId="0" borderId="8" xfId="2383" applyNumberFormat="1" applyFont="1" applyBorder="1" applyAlignment="1">
      <alignment horizontal="center" vertical="center" wrapText="1"/>
    </xf>
    <xf numFmtId="0" fontId="67" fillId="0" borderId="75" xfId="2380" applyFont="1" applyBorder="1"/>
    <xf numFmtId="0" fontId="67" fillId="0" borderId="25" xfId="2380" applyFont="1" applyBorder="1"/>
    <xf numFmtId="0" fontId="67" fillId="0" borderId="76" xfId="2380" applyFont="1" applyBorder="1"/>
    <xf numFmtId="0" fontId="70" fillId="0" borderId="0" xfId="2380" quotePrefix="1" applyFont="1" applyAlignment="1">
      <alignment horizontal="center"/>
    </xf>
    <xf numFmtId="0" fontId="122" fillId="0" borderId="0" xfId="2380" applyFont="1" applyAlignment="1">
      <alignment horizontal="center"/>
    </xf>
    <xf numFmtId="0" fontId="67" fillId="0" borderId="17" xfId="2380" applyFont="1" applyBorder="1" applyAlignment="1">
      <alignment vertical="center"/>
    </xf>
    <xf numFmtId="0" fontId="67" fillId="0" borderId="0" xfId="2380" applyFont="1" applyAlignment="1">
      <alignment vertical="center"/>
    </xf>
    <xf numFmtId="0" fontId="67" fillId="0" borderId="16" xfId="2380" applyFont="1" applyBorder="1" applyAlignment="1">
      <alignment vertical="center"/>
    </xf>
    <xf numFmtId="3" fontId="8" fillId="0" borderId="0" xfId="2380" applyNumberFormat="1" applyFont="1" applyAlignment="1">
      <alignment vertical="center"/>
    </xf>
    <xf numFmtId="3" fontId="67" fillId="0" borderId="0" xfId="2380" applyNumberFormat="1" applyFont="1"/>
    <xf numFmtId="0" fontId="67" fillId="0" borderId="8" xfId="2380" applyFont="1" applyBorder="1"/>
    <xf numFmtId="0" fontId="70" fillId="0" borderId="0" xfId="2380" quotePrefix="1" applyFont="1" applyAlignment="1">
      <alignment horizontal="left"/>
    </xf>
    <xf numFmtId="0" fontId="67" fillId="0" borderId="21" xfId="2380" applyFont="1" applyBorder="1"/>
    <xf numFmtId="0" fontId="67" fillId="0" borderId="10" xfId="2380" applyFont="1" applyBorder="1"/>
    <xf numFmtId="0" fontId="67" fillId="0" borderId="22" xfId="2380" applyFont="1" applyBorder="1"/>
    <xf numFmtId="0" fontId="72" fillId="0" borderId="0" xfId="2380" applyFont="1" applyAlignment="1">
      <alignment horizontal="left"/>
    </xf>
    <xf numFmtId="0" fontId="78" fillId="0" borderId="0" xfId="2380" applyFont="1"/>
    <xf numFmtId="0" fontId="8" fillId="0" borderId="0" xfId="2380" quotePrefix="1" applyFont="1" applyAlignment="1">
      <alignment horizontal="left"/>
    </xf>
    <xf numFmtId="0" fontId="72" fillId="0" borderId="0" xfId="2380" quotePrefix="1" applyFont="1" applyAlignment="1">
      <alignment horizontal="left"/>
    </xf>
    <xf numFmtId="186" fontId="10" fillId="0" borderId="8" xfId="2338" applyNumberFormat="1" applyFont="1" applyFill="1" applyBorder="1" applyAlignment="1">
      <alignment horizontal="center" vertical="center" wrapText="1"/>
    </xf>
    <xf numFmtId="49" fontId="9" fillId="0" borderId="8" xfId="0" applyNumberFormat="1" applyFont="1" applyBorder="1" applyAlignment="1">
      <alignment horizontal="center" vertical="center"/>
    </xf>
    <xf numFmtId="0" fontId="10" fillId="0" borderId="8" xfId="0" applyFont="1" applyBorder="1" applyAlignment="1">
      <alignment vertical="center" wrapText="1"/>
    </xf>
    <xf numFmtId="0" fontId="9" fillId="0" borderId="8" xfId="0" applyFont="1" applyBorder="1" applyAlignment="1">
      <alignment horizontal="center" vertical="center" wrapText="1"/>
    </xf>
    <xf numFmtId="1" fontId="9" fillId="0" borderId="8" xfId="0" applyNumberFormat="1" applyFont="1" applyBorder="1" applyAlignment="1">
      <alignment horizontal="center" vertical="center" wrapText="1"/>
    </xf>
    <xf numFmtId="186" fontId="9" fillId="0" borderId="8" xfId="2338" applyNumberFormat="1" applyFont="1" applyFill="1" applyBorder="1" applyAlignment="1">
      <alignment horizontal="center" vertical="center" wrapText="1"/>
    </xf>
    <xf numFmtId="3" fontId="9" fillId="0" borderId="8" xfId="0" applyNumberFormat="1" applyFont="1" applyBorder="1" applyAlignment="1">
      <alignment horizontal="center" vertical="center" wrapText="1"/>
    </xf>
    <xf numFmtId="186" fontId="9" fillId="0" borderId="8" xfId="2338" applyNumberFormat="1" applyFont="1" applyFill="1" applyBorder="1" applyAlignment="1">
      <alignment horizontal="right" vertical="center" wrapText="1"/>
    </xf>
    <xf numFmtId="178" fontId="9" fillId="0" borderId="8" xfId="0" applyNumberFormat="1" applyFont="1" applyBorder="1" applyAlignment="1">
      <alignment horizontal="center" vertical="center" wrapText="1"/>
    </xf>
    <xf numFmtId="0" fontId="9" fillId="0" borderId="8" xfId="0" applyFont="1" applyBorder="1" applyAlignment="1">
      <alignment vertical="center" wrapText="1"/>
    </xf>
    <xf numFmtId="0" fontId="9" fillId="0" borderId="8" xfId="0" applyFont="1" applyBorder="1" applyAlignment="1">
      <alignment horizontal="center" vertical="center"/>
    </xf>
    <xf numFmtId="1" fontId="9" fillId="31" borderId="8" xfId="2384" applyNumberFormat="1" applyFont="1" applyFill="1" applyBorder="1" applyAlignment="1">
      <alignment vertical="center"/>
    </xf>
    <xf numFmtId="1" fontId="9" fillId="31" borderId="8" xfId="2382" applyNumberFormat="1" applyFont="1" applyFill="1" applyBorder="1" applyAlignment="1">
      <alignment horizontal="left" vertical="center"/>
    </xf>
    <xf numFmtId="0" fontId="10" fillId="0" borderId="8" xfId="0" applyFont="1" applyBorder="1" applyAlignment="1">
      <alignment vertical="center"/>
    </xf>
    <xf numFmtId="3" fontId="10" fillId="0" borderId="8" xfId="0" applyNumberFormat="1" applyFont="1" applyBorder="1" applyAlignment="1">
      <alignment vertical="center"/>
    </xf>
    <xf numFmtId="0" fontId="9" fillId="0" borderId="8" xfId="0" applyFont="1" applyBorder="1" applyAlignment="1">
      <alignment vertical="center"/>
    </xf>
    <xf numFmtId="3" fontId="9" fillId="31" borderId="8" xfId="0" applyNumberFormat="1" applyFont="1" applyFill="1" applyBorder="1" applyAlignment="1">
      <alignment vertical="center"/>
    </xf>
    <xf numFmtId="3" fontId="10" fillId="31" borderId="8" xfId="0" applyNumberFormat="1" applyFont="1" applyFill="1" applyBorder="1" applyAlignment="1">
      <alignment vertical="center"/>
    </xf>
    <xf numFmtId="3" fontId="9" fillId="0" borderId="8" xfId="0" applyNumberFormat="1" applyFont="1" applyBorder="1" applyAlignment="1">
      <alignment vertical="center"/>
    </xf>
    <xf numFmtId="1" fontId="6" fillId="31" borderId="0" xfId="2382" applyNumberFormat="1" applyFont="1" applyFill="1" applyAlignment="1">
      <alignment horizontal="center" vertical="center"/>
    </xf>
    <xf numFmtId="0" fontId="10" fillId="31" borderId="8" xfId="2596" applyFont="1" applyFill="1" applyBorder="1" applyAlignment="1">
      <alignment horizontal="center" textRotation="90" wrapText="1"/>
    </xf>
    <xf numFmtId="1" fontId="10" fillId="31" borderId="8" xfId="2382" applyNumberFormat="1" applyFont="1" applyFill="1" applyBorder="1" applyAlignment="1">
      <alignment horizontal="center" vertical="center"/>
    </xf>
    <xf numFmtId="207" fontId="10" fillId="31" borderId="8" xfId="2382" applyNumberFormat="1" applyFont="1" applyFill="1" applyBorder="1" applyAlignment="1">
      <alignment horizontal="center" vertical="center"/>
    </xf>
    <xf numFmtId="204" fontId="10" fillId="31" borderId="8" xfId="2397" applyNumberFormat="1" applyFont="1" applyFill="1" applyBorder="1" applyAlignment="1">
      <alignment horizontal="center"/>
    </xf>
    <xf numFmtId="204" fontId="10" fillId="0" borderId="0" xfId="2397" applyNumberFormat="1" applyFont="1" applyFill="1" applyAlignment="1"/>
    <xf numFmtId="3" fontId="10" fillId="0" borderId="0" xfId="2596" applyNumberFormat="1" applyFont="1" applyAlignment="1">
      <alignment horizontal="center" vertical="center"/>
    </xf>
    <xf numFmtId="204" fontId="10" fillId="0" borderId="0" xfId="2397" applyNumberFormat="1" applyFont="1" applyFill="1"/>
    <xf numFmtId="3" fontId="10" fillId="31" borderId="8" xfId="2596" applyNumberFormat="1" applyFont="1" applyFill="1" applyBorder="1" applyAlignment="1">
      <alignment horizontal="center" vertical="center"/>
    </xf>
    <xf numFmtId="43" fontId="10" fillId="0" borderId="0" xfId="2597" applyFont="1" applyFill="1" applyBorder="1" applyAlignment="1" applyProtection="1"/>
    <xf numFmtId="1" fontId="14" fillId="31" borderId="0" xfId="2382" applyNumberFormat="1" applyFont="1" applyFill="1" applyAlignment="1">
      <alignment horizontal="center" vertical="center"/>
    </xf>
    <xf numFmtId="38" fontId="101" fillId="0" borderId="8" xfId="2383" applyNumberFormat="1" applyFont="1" applyBorder="1" applyAlignment="1">
      <alignment horizontal="centerContinuous" vertical="center" wrapText="1"/>
    </xf>
    <xf numFmtId="0" fontId="124" fillId="22" borderId="0" xfId="2376" applyFont="1" applyFill="1"/>
    <xf numFmtId="0" fontId="124" fillId="0" borderId="0" xfId="2376" applyFont="1"/>
    <xf numFmtId="43" fontId="126" fillId="0" borderId="0" xfId="3921" applyFont="1" applyAlignment="1">
      <alignment horizontal="centerContinuous" vertical="center"/>
    </xf>
    <xf numFmtId="0" fontId="36" fillId="0" borderId="0" xfId="2376" applyFont="1" applyAlignment="1">
      <alignment horizontal="center"/>
    </xf>
    <xf numFmtId="0" fontId="36" fillId="0" borderId="24" xfId="2376" applyFont="1" applyBorder="1" applyAlignment="1">
      <alignment horizontal="center"/>
    </xf>
    <xf numFmtId="0" fontId="128" fillId="0" borderId="24" xfId="2376" applyFont="1" applyBorder="1" applyAlignment="1">
      <alignment horizontal="center"/>
    </xf>
    <xf numFmtId="0" fontId="128" fillId="22" borderId="24" xfId="2376" applyFont="1" applyFill="1" applyBorder="1" applyAlignment="1">
      <alignment horizontal="center"/>
    </xf>
    <xf numFmtId="0" fontId="128" fillId="0" borderId="8" xfId="2376" applyFont="1" applyBorder="1" applyAlignment="1">
      <alignment horizontal="centerContinuous"/>
    </xf>
    <xf numFmtId="0" fontId="128" fillId="22" borderId="8" xfId="2376" applyFont="1" applyFill="1" applyBorder="1" applyAlignment="1">
      <alignment horizontal="centerContinuous"/>
    </xf>
    <xf numFmtId="0" fontId="128" fillId="22" borderId="13" xfId="2376" applyFont="1" applyFill="1" applyBorder="1" applyAlignment="1">
      <alignment horizontal="centerContinuous"/>
    </xf>
    <xf numFmtId="0" fontId="128" fillId="22" borderId="23" xfId="2376" applyFont="1" applyFill="1" applyBorder="1" applyAlignment="1">
      <alignment horizontal="center"/>
    </xf>
    <xf numFmtId="0" fontId="128" fillId="22" borderId="6" xfId="2376" applyFont="1" applyFill="1" applyBorder="1" applyAlignment="1">
      <alignment horizontal="center"/>
    </xf>
    <xf numFmtId="0" fontId="128" fillId="22" borderId="31" xfId="2376" applyFont="1" applyFill="1" applyBorder="1" applyAlignment="1">
      <alignment horizontal="center"/>
    </xf>
    <xf numFmtId="0" fontId="128" fillId="0" borderId="31" xfId="2376" applyFont="1" applyBorder="1" applyAlignment="1">
      <alignment horizontal="center"/>
    </xf>
    <xf numFmtId="0" fontId="128" fillId="0" borderId="25" xfId="2376" applyFont="1" applyBorder="1" applyAlignment="1">
      <alignment horizontal="center"/>
    </xf>
    <xf numFmtId="0" fontId="128" fillId="0" borderId="23" xfId="2376" applyFont="1" applyBorder="1" applyAlignment="1">
      <alignment horizontal="center"/>
    </xf>
    <xf numFmtId="0" fontId="36" fillId="0" borderId="82" xfId="2376" applyFont="1" applyBorder="1" applyAlignment="1">
      <alignment horizontal="center"/>
    </xf>
    <xf numFmtId="0" fontId="128" fillId="0" borderId="82" xfId="2376" applyFont="1" applyBorder="1" applyAlignment="1">
      <alignment horizontal="center"/>
    </xf>
    <xf numFmtId="0" fontId="128" fillId="22" borderId="82" xfId="2376" applyFont="1" applyFill="1" applyBorder="1" applyAlignment="1">
      <alignment horizontal="center"/>
    </xf>
    <xf numFmtId="0" fontId="128" fillId="22" borderId="74" xfId="2376" applyFont="1" applyFill="1" applyBorder="1" applyAlignment="1">
      <alignment horizontal="center"/>
    </xf>
    <xf numFmtId="0" fontId="128" fillId="22" borderId="33" xfId="2376" applyFont="1" applyFill="1" applyBorder="1" applyAlignment="1">
      <alignment horizontal="center"/>
    </xf>
    <xf numFmtId="0" fontId="128" fillId="0" borderId="33" xfId="2376" applyFont="1" applyBorder="1" applyAlignment="1">
      <alignment horizontal="center"/>
    </xf>
    <xf numFmtId="0" fontId="128" fillId="0" borderId="0" xfId="2376" applyFont="1" applyAlignment="1">
      <alignment horizontal="center"/>
    </xf>
    <xf numFmtId="0" fontId="128" fillId="0" borderId="74" xfId="2376" applyFont="1" applyBorder="1" applyAlignment="1">
      <alignment horizontal="center"/>
    </xf>
    <xf numFmtId="0" fontId="36" fillId="0" borderId="4" xfId="2376" applyFont="1" applyBorder="1" applyAlignment="1">
      <alignment horizontal="center"/>
    </xf>
    <xf numFmtId="0" fontId="128" fillId="0" borderId="4" xfId="2376" applyFont="1" applyBorder="1" applyAlignment="1">
      <alignment horizontal="center"/>
    </xf>
    <xf numFmtId="0" fontId="128" fillId="22" borderId="4" xfId="2376" applyFont="1" applyFill="1" applyBorder="1" applyAlignment="1">
      <alignment horizontal="center"/>
    </xf>
    <xf numFmtId="0" fontId="128" fillId="0" borderId="8" xfId="2376" applyFont="1" applyBorder="1" applyAlignment="1">
      <alignment horizontal="center"/>
    </xf>
    <xf numFmtId="0" fontId="128" fillId="22" borderId="8" xfId="2376" applyFont="1" applyFill="1" applyBorder="1" applyAlignment="1">
      <alignment horizontal="center"/>
    </xf>
    <xf numFmtId="0" fontId="128" fillId="22" borderId="66" xfId="2376" applyFont="1" applyFill="1" applyBorder="1" applyAlignment="1">
      <alignment horizontal="center"/>
    </xf>
    <xf numFmtId="0" fontId="128" fillId="22" borderId="4" xfId="2376" applyFont="1" applyFill="1" applyBorder="1"/>
    <xf numFmtId="0" fontId="128" fillId="22" borderId="4" xfId="2376" quotePrefix="1" applyFont="1" applyFill="1" applyBorder="1" applyAlignment="1">
      <alignment horizontal="center"/>
    </xf>
    <xf numFmtId="0" fontId="128" fillId="22" borderId="67" xfId="2376" applyFont="1" applyFill="1" applyBorder="1" applyAlignment="1">
      <alignment horizontal="center"/>
    </xf>
    <xf numFmtId="0" fontId="128" fillId="0" borderId="67" xfId="2376" applyFont="1" applyBorder="1" applyAlignment="1">
      <alignment horizontal="center"/>
    </xf>
    <xf numFmtId="0" fontId="128" fillId="0" borderId="45" xfId="2376" applyFont="1" applyBorder="1" applyAlignment="1">
      <alignment horizontal="center"/>
    </xf>
    <xf numFmtId="0" fontId="128" fillId="0" borderId="66" xfId="2376" applyFont="1" applyBorder="1" applyAlignment="1">
      <alignment horizontal="center"/>
    </xf>
    <xf numFmtId="0" fontId="129" fillId="0" borderId="83" xfId="4091" applyFont="1" applyBorder="1" applyAlignment="1">
      <alignment vertical="top" wrapText="1"/>
    </xf>
    <xf numFmtId="0" fontId="129" fillId="0" borderId="24" xfId="2376" applyFont="1" applyBorder="1"/>
    <xf numFmtId="0" fontId="129" fillId="22" borderId="24" xfId="2376" applyFont="1" applyFill="1" applyBorder="1"/>
    <xf numFmtId="2" fontId="129" fillId="0" borderId="24" xfId="2376" applyNumberFormat="1" applyFont="1" applyBorder="1"/>
    <xf numFmtId="0" fontId="129" fillId="30" borderId="24" xfId="2376" applyFont="1" applyFill="1" applyBorder="1" applyAlignment="1">
      <alignment horizontal="center"/>
    </xf>
    <xf numFmtId="0" fontId="129" fillId="22" borderId="24" xfId="2376" applyFont="1" applyFill="1" applyBorder="1" applyAlignment="1">
      <alignment horizontal="center"/>
    </xf>
    <xf numFmtId="2" fontId="129" fillId="22" borderId="24" xfId="2376" applyNumberFormat="1" applyFont="1" applyFill="1" applyBorder="1"/>
    <xf numFmtId="43" fontId="129" fillId="22" borderId="24" xfId="3921" applyFont="1" applyFill="1" applyBorder="1" applyAlignment="1">
      <alignment horizontal="center"/>
    </xf>
    <xf numFmtId="43" fontId="129" fillId="0" borderId="24" xfId="3921" applyFont="1" applyBorder="1" applyAlignment="1">
      <alignment horizontal="center"/>
    </xf>
    <xf numFmtId="186" fontId="129" fillId="30" borderId="24" xfId="3921" applyNumberFormat="1" applyFont="1" applyFill="1" applyBorder="1"/>
    <xf numFmtId="43" fontId="129" fillId="0" borderId="24" xfId="3921" applyFont="1" applyBorder="1"/>
    <xf numFmtId="0" fontId="36" fillId="0" borderId="0" xfId="2376" applyFont="1"/>
    <xf numFmtId="0" fontId="129" fillId="0" borderId="84" xfId="2376" applyFont="1" applyBorder="1" applyAlignment="1">
      <alignment horizontal="center"/>
    </xf>
    <xf numFmtId="0" fontId="129" fillId="0" borderId="81" xfId="2376" applyFont="1" applyBorder="1" applyAlignment="1">
      <alignment horizontal="center"/>
    </xf>
    <xf numFmtId="43" fontId="129" fillId="0" borderId="81" xfId="3921" applyFont="1" applyBorder="1" applyAlignment="1">
      <alignment horizontal="center"/>
    </xf>
    <xf numFmtId="186" fontId="129" fillId="0" borderId="81" xfId="3921" applyNumberFormat="1" applyFont="1" applyBorder="1" applyAlignment="1">
      <alignment horizontal="center"/>
    </xf>
    <xf numFmtId="0" fontId="129" fillId="0" borderId="0" xfId="2376" applyFont="1"/>
    <xf numFmtId="0" fontId="129" fillId="0" borderId="83" xfId="2376" applyFont="1" applyBorder="1" applyAlignment="1">
      <alignment vertical="top" wrapText="1"/>
    </xf>
    <xf numFmtId="0" fontId="129" fillId="0" borderId="85" xfId="2376" applyFont="1" applyBorder="1" applyAlignment="1">
      <alignment horizontal="center"/>
    </xf>
    <xf numFmtId="0" fontId="129" fillId="0" borderId="86" xfId="2376" applyFont="1" applyBorder="1" applyAlignment="1">
      <alignment horizontal="center"/>
    </xf>
    <xf numFmtId="43" fontId="129" fillId="0" borderId="86" xfId="3921" applyFont="1" applyBorder="1" applyAlignment="1">
      <alignment horizontal="center"/>
    </xf>
    <xf numFmtId="186" fontId="129" fillId="0" borderId="86" xfId="3921" applyNumberFormat="1" applyFont="1" applyBorder="1" applyAlignment="1">
      <alignment horizontal="center"/>
    </xf>
    <xf numFmtId="0" fontId="129" fillId="0" borderId="87" xfId="2376" applyFont="1" applyBorder="1" applyAlignment="1">
      <alignment horizontal="center"/>
    </xf>
    <xf numFmtId="0" fontId="129" fillId="0" borderId="77" xfId="2376" applyFont="1" applyBorder="1" applyAlignment="1">
      <alignment horizontal="center"/>
    </xf>
    <xf numFmtId="2" fontId="129" fillId="0" borderId="77" xfId="2376" applyNumberFormat="1" applyFont="1" applyBorder="1" applyAlignment="1">
      <alignment horizontal="center"/>
    </xf>
    <xf numFmtId="43" fontId="129" fillId="0" borderId="77" xfId="3921" applyFont="1" applyBorder="1" applyAlignment="1">
      <alignment horizontal="center"/>
    </xf>
    <xf numFmtId="186" fontId="129" fillId="0" borderId="77" xfId="3921" applyNumberFormat="1" applyFont="1" applyBorder="1" applyAlignment="1">
      <alignment horizontal="center"/>
    </xf>
    <xf numFmtId="2" fontId="129" fillId="0" borderId="81" xfId="2376" applyNumberFormat="1" applyFont="1" applyBorder="1" applyAlignment="1">
      <alignment horizontal="center"/>
    </xf>
    <xf numFmtId="0" fontId="129" fillId="0" borderId="88" xfId="4091" applyFont="1" applyBorder="1" applyAlignment="1">
      <alignment vertical="top" wrapText="1"/>
    </xf>
    <xf numFmtId="2" fontId="129" fillId="0" borderId="86" xfId="2376" applyNumberFormat="1" applyFont="1" applyBorder="1" applyAlignment="1">
      <alignment horizontal="center"/>
    </xf>
    <xf numFmtId="0" fontId="129" fillId="0" borderId="4" xfId="2376" applyFont="1" applyBorder="1"/>
    <xf numFmtId="0" fontId="129" fillId="22" borderId="4" xfId="2376" applyFont="1" applyFill="1" applyBorder="1"/>
    <xf numFmtId="2" fontId="129" fillId="0" borderId="87" xfId="2376" applyNumberFormat="1" applyFont="1" applyBorder="1"/>
    <xf numFmtId="0" fontId="129" fillId="30" borderId="87" xfId="2376" applyFont="1" applyFill="1" applyBorder="1" applyAlignment="1">
      <alignment horizontal="center"/>
    </xf>
    <xf numFmtId="0" fontId="129" fillId="0" borderId="87" xfId="2376" applyFont="1" applyBorder="1"/>
    <xf numFmtId="0" fontId="129" fillId="22" borderId="87" xfId="2376" applyFont="1" applyFill="1" applyBorder="1" applyAlignment="1">
      <alignment horizontal="center"/>
    </xf>
    <xf numFmtId="2" fontId="129" fillId="22" borderId="4" xfId="2376" applyNumberFormat="1" applyFont="1" applyFill="1" applyBorder="1"/>
    <xf numFmtId="43" fontId="129" fillId="22" borderId="4" xfId="3921" applyFont="1" applyFill="1" applyBorder="1" applyAlignment="1">
      <alignment horizontal="center"/>
    </xf>
    <xf numFmtId="43" fontId="129" fillId="0" borderId="4" xfId="3921" applyFont="1" applyBorder="1" applyAlignment="1">
      <alignment horizontal="center"/>
    </xf>
    <xf numFmtId="186" fontId="129" fillId="30" borderId="4" xfId="3921" applyNumberFormat="1" applyFont="1" applyFill="1" applyBorder="1"/>
    <xf numFmtId="43" fontId="129" fillId="0" borderId="87" xfId="3921" applyFont="1" applyBorder="1"/>
    <xf numFmtId="0" fontId="129" fillId="22" borderId="0" xfId="2376" applyFont="1" applyFill="1"/>
    <xf numFmtId="0" fontId="36" fillId="22" borderId="0" xfId="2376" applyFont="1" applyFill="1"/>
    <xf numFmtId="0" fontId="129" fillId="0" borderId="24" xfId="2376" applyFont="1" applyBorder="1" applyAlignment="1">
      <alignment horizontal="center"/>
    </xf>
    <xf numFmtId="0" fontId="129" fillId="0" borderId="8" xfId="2376" applyFont="1" applyBorder="1" applyAlignment="1">
      <alignment horizontal="center"/>
    </xf>
    <xf numFmtId="2" fontId="130" fillId="0" borderId="8" xfId="2376" applyNumberFormat="1" applyFont="1" applyBorder="1" applyAlignment="1">
      <alignment horizontal="center"/>
    </xf>
    <xf numFmtId="43" fontId="129" fillId="0" borderId="8" xfId="3919" applyFont="1" applyBorder="1" applyAlignment="1">
      <alignment horizontal="center"/>
    </xf>
    <xf numFmtId="43" fontId="129" fillId="0" borderId="8" xfId="3921" applyFont="1" applyBorder="1" applyAlignment="1">
      <alignment horizontal="center"/>
    </xf>
    <xf numFmtId="186" fontId="129" fillId="0" borderId="8" xfId="3921" applyNumberFormat="1" applyFont="1" applyBorder="1" applyAlignment="1">
      <alignment horizontal="center"/>
    </xf>
    <xf numFmtId="0" fontId="130" fillId="0" borderId="8" xfId="2376" applyFont="1" applyBorder="1" applyAlignment="1">
      <alignment horizontal="center"/>
    </xf>
    <xf numFmtId="0" fontId="6" fillId="0" borderId="0" xfId="0" applyFont="1" applyAlignment="1">
      <alignment vertical="center"/>
    </xf>
    <xf numFmtId="3" fontId="50" fillId="0" borderId="0" xfId="0" applyNumberFormat="1" applyFont="1" applyAlignment="1">
      <alignment vertical="center"/>
    </xf>
    <xf numFmtId="3" fontId="51" fillId="0" borderId="0" xfId="0" applyNumberFormat="1" applyFont="1" applyAlignment="1">
      <alignment vertical="center"/>
    </xf>
    <xf numFmtId="0" fontId="72" fillId="0" borderId="8" xfId="2380" applyFont="1" applyBorder="1" applyAlignment="1">
      <alignment horizontal="left" vertical="center"/>
    </xf>
    <xf numFmtId="0" fontId="71" fillId="0" borderId="17" xfId="2380" applyFont="1" applyBorder="1" applyAlignment="1">
      <alignment horizontal="center" vertical="center" wrapText="1"/>
    </xf>
    <xf numFmtId="0" fontId="71" fillId="0" borderId="0" xfId="2380" applyFont="1" applyAlignment="1">
      <alignment horizontal="center" vertical="center"/>
    </xf>
    <xf numFmtId="0" fontId="71" fillId="0" borderId="16" xfId="2380" applyFont="1" applyBorder="1" applyAlignment="1">
      <alignment horizontal="center" vertical="center"/>
    </xf>
    <xf numFmtId="0" fontId="121" fillId="0" borderId="17" xfId="2380" applyFont="1" applyBorder="1" applyAlignment="1">
      <alignment horizontal="center"/>
    </xf>
    <xf numFmtId="0" fontId="121" fillId="0" borderId="0" xfId="2380" applyFont="1" applyAlignment="1">
      <alignment horizontal="center"/>
    </xf>
    <xf numFmtId="0" fontId="121" fillId="0" borderId="16" xfId="2380" applyFont="1" applyBorder="1" applyAlignment="1">
      <alignment horizontal="center"/>
    </xf>
    <xf numFmtId="0" fontId="131" fillId="0" borderId="0" xfId="0" applyFont="1" applyAlignment="1">
      <alignment vertical="center"/>
    </xf>
    <xf numFmtId="0" fontId="132" fillId="0" borderId="0" xfId="0" applyFont="1" applyAlignment="1">
      <alignment vertical="center"/>
    </xf>
    <xf numFmtId="1" fontId="129" fillId="0" borderId="8" xfId="2376" applyNumberFormat="1" applyFont="1" applyBorder="1" applyAlignment="1">
      <alignment horizontal="center"/>
    </xf>
    <xf numFmtId="186" fontId="129" fillId="0" borderId="8" xfId="3921" applyNumberFormat="1" applyFont="1" applyFill="1" applyBorder="1" applyAlignment="1">
      <alignment horizontal="center"/>
    </xf>
    <xf numFmtId="0" fontId="77" fillId="0" borderId="0" xfId="0" applyFont="1" applyAlignment="1">
      <alignment vertical="center"/>
    </xf>
    <xf numFmtId="0" fontId="10" fillId="31" borderId="0" xfId="0" applyFont="1" applyFill="1" applyAlignment="1">
      <alignment vertical="center"/>
    </xf>
    <xf numFmtId="3" fontId="77" fillId="0" borderId="0" xfId="0" applyNumberFormat="1" applyFont="1" applyAlignment="1">
      <alignment vertical="center"/>
    </xf>
    <xf numFmtId="3" fontId="77" fillId="31" borderId="8" xfId="2381" applyNumberFormat="1" applyFont="1" applyFill="1" applyBorder="1" applyAlignment="1">
      <alignment horizontal="right" vertical="center"/>
    </xf>
    <xf numFmtId="3" fontId="133" fillId="31" borderId="8" xfId="2381" applyNumberFormat="1" applyFont="1" applyFill="1" applyBorder="1" applyAlignment="1">
      <alignment horizontal="right" vertical="center"/>
    </xf>
    <xf numFmtId="0" fontId="67" fillId="0" borderId="0" xfId="2380" applyFont="1" applyAlignment="1">
      <alignment vertical="center" wrapText="1"/>
    </xf>
    <xf numFmtId="49" fontId="20" fillId="31" borderId="8" xfId="0" applyNumberFormat="1" applyFont="1" applyFill="1" applyBorder="1" applyAlignment="1">
      <alignment horizontal="center" vertical="center"/>
    </xf>
    <xf numFmtId="38" fontId="133" fillId="33" borderId="8" xfId="2383" applyNumberFormat="1" applyFont="1" applyFill="1" applyBorder="1" applyAlignment="1">
      <alignment horizontal="centerContinuous" vertical="center" wrapText="1"/>
    </xf>
    <xf numFmtId="186" fontId="118" fillId="22" borderId="0" xfId="0" applyNumberFormat="1" applyFont="1" applyFill="1" applyAlignment="1">
      <alignment vertical="center"/>
    </xf>
    <xf numFmtId="3" fontId="10" fillId="33" borderId="8" xfId="2381" applyNumberFormat="1" applyFont="1" applyFill="1" applyBorder="1" applyAlignment="1">
      <alignment horizontal="right" vertical="center"/>
    </xf>
    <xf numFmtId="3" fontId="78" fillId="0" borderId="89" xfId="0" applyNumberFormat="1" applyFont="1" applyBorder="1" applyAlignment="1">
      <alignment horizontal="right" vertical="center" wrapText="1"/>
    </xf>
    <xf numFmtId="3" fontId="78" fillId="0" borderId="90" xfId="0" applyNumberFormat="1" applyFont="1" applyBorder="1" applyAlignment="1">
      <alignment horizontal="right" vertical="center" wrapText="1"/>
    </xf>
    <xf numFmtId="186" fontId="9" fillId="0" borderId="8" xfId="2338" applyNumberFormat="1" applyFont="1" applyFill="1" applyBorder="1" applyAlignment="1">
      <alignment horizontal="right" vertical="center"/>
    </xf>
    <xf numFmtId="0" fontId="10" fillId="31" borderId="8" xfId="2386" applyFont="1" applyFill="1" applyBorder="1" applyAlignment="1">
      <alignment horizontal="center" vertical="center" wrapText="1"/>
    </xf>
    <xf numFmtId="0" fontId="10" fillId="31" borderId="8" xfId="2596" applyFont="1" applyFill="1" applyBorder="1" applyAlignment="1">
      <alignment vertical="center" wrapText="1"/>
    </xf>
    <xf numFmtId="3" fontId="79" fillId="0" borderId="8" xfId="4092" applyNumberFormat="1" applyFont="1" applyBorder="1" applyAlignment="1">
      <alignment horizontal="center" vertical="center"/>
    </xf>
    <xf numFmtId="1" fontId="10" fillId="31" borderId="8" xfId="2382" applyNumberFormat="1" applyFont="1" applyFill="1" applyBorder="1" applyAlignment="1">
      <alignment horizontal="left" vertical="center"/>
    </xf>
    <xf numFmtId="186" fontId="10" fillId="0" borderId="8" xfId="2338" applyNumberFormat="1" applyFont="1" applyFill="1" applyBorder="1" applyAlignment="1">
      <alignment horizontal="right" vertical="center" wrapText="1"/>
    </xf>
    <xf numFmtId="186" fontId="9" fillId="0" borderId="26" xfId="2338" applyNumberFormat="1" applyFont="1" applyFill="1" applyBorder="1" applyAlignment="1">
      <alignment horizontal="right" vertical="center"/>
    </xf>
    <xf numFmtId="3" fontId="9" fillId="31" borderId="0" xfId="0" applyNumberFormat="1" applyFont="1" applyFill="1" applyAlignment="1">
      <alignment vertical="center"/>
    </xf>
    <xf numFmtId="3" fontId="10" fillId="33" borderId="8" xfId="2341" applyNumberFormat="1" applyFont="1" applyFill="1" applyBorder="1" applyAlignment="1">
      <alignment horizontal="right" vertical="center" wrapText="1"/>
    </xf>
    <xf numFmtId="3" fontId="9" fillId="0" borderId="8" xfId="2341" applyNumberFormat="1" applyFont="1" applyFill="1" applyBorder="1" applyAlignment="1">
      <alignment horizontal="right" vertical="center" wrapText="1"/>
    </xf>
    <xf numFmtId="3" fontId="133" fillId="33" borderId="8" xfId="2341" applyNumberFormat="1" applyFont="1" applyFill="1" applyBorder="1" applyAlignment="1">
      <alignment horizontal="right" vertical="center" wrapText="1"/>
    </xf>
    <xf numFmtId="3" fontId="133" fillId="31" borderId="8" xfId="2341" applyNumberFormat="1" applyFont="1" applyFill="1" applyBorder="1" applyAlignment="1">
      <alignment horizontal="right" vertical="center" wrapText="1"/>
    </xf>
    <xf numFmtId="3" fontId="77" fillId="31" borderId="8" xfId="2341" applyNumberFormat="1" applyFont="1" applyFill="1" applyBorder="1" applyAlignment="1">
      <alignment horizontal="right" vertical="center" wrapText="1"/>
    </xf>
    <xf numFmtId="3" fontId="9" fillId="31" borderId="8" xfId="2341" applyNumberFormat="1" applyFont="1" applyFill="1" applyBorder="1" applyAlignment="1">
      <alignment horizontal="right" vertical="center" wrapText="1"/>
    </xf>
    <xf numFmtId="3" fontId="10" fillId="0" borderId="8" xfId="0" applyNumberFormat="1" applyFont="1" applyBorder="1" applyAlignment="1">
      <alignment horizontal="center" vertical="center" wrapText="1"/>
    </xf>
    <xf numFmtId="0" fontId="10" fillId="0" borderId="8" xfId="0" applyFont="1" applyBorder="1" applyAlignment="1">
      <alignment horizontal="center" vertical="center" wrapText="1"/>
    </xf>
    <xf numFmtId="1" fontId="10" fillId="0" borderId="8" xfId="0" applyNumberFormat="1" applyFont="1" applyBorder="1" applyAlignment="1">
      <alignment horizontal="center" vertical="center" wrapText="1"/>
    </xf>
    <xf numFmtId="186" fontId="9" fillId="0" borderId="8" xfId="2338" applyNumberFormat="1" applyFont="1" applyFill="1" applyBorder="1" applyAlignment="1">
      <alignment vertical="center" wrapText="1"/>
    </xf>
    <xf numFmtId="186" fontId="10" fillId="0" borderId="8" xfId="2338" applyNumberFormat="1" applyFont="1" applyFill="1" applyBorder="1" applyAlignment="1">
      <alignment vertical="center" wrapText="1"/>
    </xf>
    <xf numFmtId="3" fontId="10" fillId="0" borderId="8" xfId="0" applyNumberFormat="1" applyFont="1" applyBorder="1" applyAlignment="1">
      <alignment horizontal="right" vertical="center" wrapText="1"/>
    </xf>
    <xf numFmtId="0" fontId="9" fillId="22" borderId="0" xfId="0" applyFont="1" applyFill="1"/>
    <xf numFmtId="0" fontId="8" fillId="22" borderId="0" xfId="0" applyFont="1" applyFill="1" applyAlignment="1">
      <alignment horizontal="left"/>
    </xf>
    <xf numFmtId="3" fontId="9" fillId="30" borderId="8" xfId="0" applyNumberFormat="1" applyFont="1" applyFill="1" applyBorder="1" applyAlignment="1">
      <alignment vertical="center"/>
    </xf>
    <xf numFmtId="38" fontId="77" fillId="0" borderId="0" xfId="0" applyNumberFormat="1"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9" fillId="0" borderId="27" xfId="2387" applyFont="1" applyBorder="1" applyAlignment="1">
      <alignment horizontal="center"/>
    </xf>
    <xf numFmtId="0" fontId="9" fillId="0" borderId="27" xfId="2387" applyFont="1" applyBorder="1" applyAlignment="1">
      <alignment horizontal="left" vertical="center"/>
    </xf>
    <xf numFmtId="3" fontId="10" fillId="0" borderId="27" xfId="2387" applyNumberFormat="1" applyFont="1" applyBorder="1" applyAlignment="1">
      <alignment vertical="center"/>
    </xf>
    <xf numFmtId="0" fontId="8" fillId="22" borderId="0" xfId="0" applyFont="1" applyFill="1" applyAlignment="1">
      <alignment horizontal="center"/>
    </xf>
    <xf numFmtId="0" fontId="9" fillId="0" borderId="81" xfId="2387" applyFont="1" applyBorder="1" applyAlignment="1">
      <alignment horizontal="center"/>
    </xf>
    <xf numFmtId="186" fontId="9" fillId="0" borderId="81" xfId="2340" applyNumberFormat="1" applyFont="1" applyFill="1" applyBorder="1" applyAlignment="1">
      <alignment horizontal="right" vertical="center"/>
    </xf>
    <xf numFmtId="0" fontId="9" fillId="0" borderId="81" xfId="2387" applyFont="1" applyBorder="1" applyAlignment="1">
      <alignment horizontal="left" vertical="center"/>
    </xf>
    <xf numFmtId="3" fontId="9" fillId="0" borderId="81" xfId="2387" applyNumberFormat="1" applyFont="1" applyBorder="1" applyAlignment="1">
      <alignment vertical="center"/>
    </xf>
    <xf numFmtId="186" fontId="9" fillId="30" borderId="81" xfId="2340" applyNumberFormat="1" applyFont="1" applyFill="1" applyBorder="1" applyAlignment="1">
      <alignment horizontal="right" vertical="center"/>
    </xf>
    <xf numFmtId="0" fontId="9" fillId="30" borderId="81" xfId="2387" applyFont="1" applyFill="1" applyBorder="1" applyAlignment="1">
      <alignment horizontal="center"/>
    </xf>
    <xf numFmtId="0" fontId="9" fillId="30" borderId="81" xfId="2387" applyFont="1" applyFill="1" applyBorder="1" applyAlignment="1">
      <alignment horizontal="left" vertical="center"/>
    </xf>
    <xf numFmtId="0" fontId="9" fillId="0" borderId="86" xfId="2387" applyFont="1" applyBorder="1" applyAlignment="1">
      <alignment horizontal="center"/>
    </xf>
    <xf numFmtId="0" fontId="9" fillId="0" borderId="86" xfId="2387" applyFont="1" applyBorder="1" applyAlignment="1">
      <alignment horizontal="left" vertical="center"/>
    </xf>
    <xf numFmtId="186" fontId="9" fillId="0" borderId="86" xfId="2340" applyNumberFormat="1" applyFont="1" applyFill="1" applyBorder="1" applyAlignment="1">
      <alignment horizontal="right" vertical="center"/>
    </xf>
    <xf numFmtId="186" fontId="9" fillId="0" borderId="81" xfId="2340" applyNumberFormat="1" applyFont="1" applyBorder="1" applyAlignment="1">
      <alignment horizontal="right" vertical="center"/>
    </xf>
    <xf numFmtId="253" fontId="10" fillId="0" borderId="0" xfId="0" applyNumberFormat="1" applyFont="1" applyAlignment="1">
      <alignment vertical="center"/>
    </xf>
    <xf numFmtId="252" fontId="77" fillId="0" borderId="0" xfId="0" applyNumberFormat="1" applyFont="1" applyAlignment="1">
      <alignment vertical="center"/>
    </xf>
    <xf numFmtId="4" fontId="9" fillId="0" borderId="0" xfId="0" applyNumberFormat="1" applyFont="1" applyAlignment="1">
      <alignment vertical="center"/>
    </xf>
    <xf numFmtId="0" fontId="9" fillId="31" borderId="81" xfId="2387" applyFont="1" applyFill="1" applyBorder="1" applyAlignment="1">
      <alignment horizontal="center"/>
    </xf>
    <xf numFmtId="0" fontId="9" fillId="31" borderId="81" xfId="2387" applyFont="1" applyFill="1" applyBorder="1" applyAlignment="1">
      <alignment horizontal="left" vertical="center"/>
    </xf>
    <xf numFmtId="186" fontId="9" fillId="31" borderId="81" xfId="2340" applyNumberFormat="1" applyFont="1" applyFill="1" applyBorder="1" applyAlignment="1">
      <alignment horizontal="right" vertical="center"/>
    </xf>
    <xf numFmtId="0" fontId="8" fillId="31" borderId="0" xfId="0" applyFont="1" applyFill="1" applyAlignment="1">
      <alignment horizontal="center"/>
    </xf>
    <xf numFmtId="0" fontId="8" fillId="31" borderId="0" xfId="0" applyFont="1" applyFill="1" applyAlignment="1">
      <alignment horizontal="left"/>
    </xf>
    <xf numFmtId="3" fontId="9" fillId="31" borderId="81" xfId="2387" applyNumberFormat="1" applyFont="1" applyFill="1" applyBorder="1" applyAlignment="1">
      <alignment vertical="center"/>
    </xf>
    <xf numFmtId="0" fontId="10" fillId="31" borderId="0" xfId="2387" applyFont="1" applyFill="1" applyAlignment="1">
      <alignment vertical="center"/>
    </xf>
    <xf numFmtId="0" fontId="9" fillId="31" borderId="0" xfId="2387" applyFont="1" applyFill="1" applyAlignment="1">
      <alignment vertical="center"/>
    </xf>
    <xf numFmtId="0" fontId="9" fillId="31" borderId="0" xfId="2387" applyFont="1" applyFill="1"/>
    <xf numFmtId="1" fontId="9" fillId="31" borderId="0" xfId="2387" applyNumberFormat="1" applyFont="1" applyFill="1" applyAlignment="1">
      <alignment vertical="center"/>
    </xf>
    <xf numFmtId="3" fontId="72" fillId="28" borderId="8" xfId="2387" applyNumberFormat="1" applyFont="1" applyFill="1" applyBorder="1" applyAlignment="1">
      <alignment horizontal="right" vertical="center"/>
    </xf>
    <xf numFmtId="3" fontId="72" fillId="28" borderId="8" xfId="2387" applyNumberFormat="1" applyFont="1" applyFill="1" applyBorder="1" applyAlignment="1">
      <alignment horizontal="right"/>
    </xf>
    <xf numFmtId="0" fontId="6" fillId="0" borderId="0" xfId="0" applyFont="1"/>
    <xf numFmtId="0" fontId="6" fillId="22" borderId="0" xfId="0" applyFont="1" applyFill="1"/>
    <xf numFmtId="0" fontId="6" fillId="30" borderId="0" xfId="0" applyFont="1" applyFill="1"/>
    <xf numFmtId="0" fontId="9" fillId="0" borderId="81" xfId="2387" applyFont="1" applyBorder="1" applyAlignment="1">
      <alignment horizontal="center" vertical="center"/>
    </xf>
    <xf numFmtId="0" fontId="9" fillId="0" borderId="92" xfId="2387" quotePrefix="1" applyFont="1" applyBorder="1" applyAlignment="1">
      <alignment horizontal="left" vertical="center" wrapText="1"/>
    </xf>
    <xf numFmtId="3" fontId="9" fillId="0" borderId="81" xfId="2387" applyNumberFormat="1" applyFont="1" applyBorder="1" applyAlignment="1">
      <alignment horizontal="right" vertical="center"/>
    </xf>
    <xf numFmtId="0" fontId="13" fillId="0" borderId="0" xfId="2387" applyFont="1"/>
    <xf numFmtId="0" fontId="9" fillId="0" borderId="59" xfId="2387" quotePrefix="1" applyFont="1" applyBorder="1" applyAlignment="1">
      <alignment horizontal="left" vertical="center"/>
    </xf>
    <xf numFmtId="4" fontId="13" fillId="0" borderId="0" xfId="2387" applyNumberFormat="1" applyFont="1"/>
    <xf numFmtId="0" fontId="9" fillId="0" borderId="93" xfId="2387" quotePrefix="1" applyFont="1" applyBorder="1" applyAlignment="1">
      <alignment horizontal="left" vertical="center"/>
    </xf>
    <xf numFmtId="0" fontId="78" fillId="0" borderId="81" xfId="2387" applyFont="1" applyBorder="1" applyAlignment="1">
      <alignment horizontal="right" vertical="center"/>
    </xf>
    <xf numFmtId="0" fontId="9" fillId="0" borderId="32" xfId="2387" quotePrefix="1" applyFont="1" applyBorder="1" applyAlignment="1">
      <alignment horizontal="left" vertical="center" wrapText="1"/>
    </xf>
    <xf numFmtId="0" fontId="9" fillId="0" borderId="86" xfId="2387" applyFont="1" applyBorder="1" applyAlignment="1">
      <alignment horizontal="center" vertical="center"/>
    </xf>
    <xf numFmtId="0" fontId="9" fillId="0" borderId="94" xfId="2387" quotePrefix="1" applyFont="1" applyBorder="1" applyAlignment="1">
      <alignment horizontal="left" vertical="center"/>
    </xf>
    <xf numFmtId="0" fontId="78" fillId="0" borderId="86" xfId="2387" applyFont="1" applyBorder="1" applyAlignment="1">
      <alignment horizontal="right" vertical="center"/>
    </xf>
    <xf numFmtId="0" fontId="9" fillId="0" borderId="0" xfId="4090" applyFont="1" applyAlignment="1">
      <alignment vertical="center"/>
    </xf>
    <xf numFmtId="210" fontId="9" fillId="0" borderId="0" xfId="4090" applyNumberFormat="1" applyFont="1" applyAlignment="1">
      <alignment vertical="center"/>
    </xf>
    <xf numFmtId="207" fontId="9" fillId="31" borderId="0" xfId="0" applyNumberFormat="1" applyFont="1" applyFill="1" applyAlignment="1">
      <alignment horizontal="center"/>
    </xf>
    <xf numFmtId="0" fontId="9" fillId="31" borderId="0" xfId="0" applyFont="1" applyFill="1" applyAlignment="1">
      <alignment horizontal="center"/>
    </xf>
    <xf numFmtId="0" fontId="9" fillId="31" borderId="0" xfId="0" applyFont="1" applyFill="1" applyAlignment="1">
      <alignment horizontal="right"/>
    </xf>
    <xf numFmtId="0" fontId="7" fillId="31" borderId="0" xfId="0" applyFont="1" applyFill="1" applyAlignment="1">
      <alignment horizontal="center" vertical="center"/>
    </xf>
    <xf numFmtId="49" fontId="9" fillId="31" borderId="8" xfId="0" applyNumberFormat="1" applyFont="1" applyFill="1" applyBorder="1" applyAlignment="1">
      <alignment horizontal="center" vertical="center"/>
    </xf>
    <xf numFmtId="207" fontId="9" fillId="31" borderId="8" xfId="0" applyNumberFormat="1" applyFont="1" applyFill="1" applyBorder="1" applyAlignment="1">
      <alignment horizontal="center" vertical="center"/>
    </xf>
    <xf numFmtId="1" fontId="9" fillId="31" borderId="8" xfId="0" applyNumberFormat="1" applyFont="1" applyFill="1" applyBorder="1" applyAlignment="1">
      <alignment horizontal="center" vertical="center"/>
    </xf>
    <xf numFmtId="3" fontId="9" fillId="31" borderId="8" xfId="0" applyNumberFormat="1" applyFont="1" applyFill="1" applyBorder="1" applyAlignment="1">
      <alignment vertical="center" wrapText="1"/>
    </xf>
    <xf numFmtId="3" fontId="9" fillId="31" borderId="8" xfId="0" applyNumberFormat="1" applyFont="1" applyFill="1" applyBorder="1" applyAlignment="1">
      <alignment horizontal="center" vertical="center" wrapText="1"/>
    </xf>
    <xf numFmtId="3" fontId="9" fillId="31" borderId="8" xfId="0" applyNumberFormat="1" applyFont="1" applyFill="1" applyBorder="1" applyAlignment="1">
      <alignment horizontal="right" vertical="center" wrapText="1"/>
    </xf>
    <xf numFmtId="0" fontId="9" fillId="31" borderId="8" xfId="0" applyFont="1" applyFill="1" applyBorder="1" applyAlignment="1">
      <alignment horizontal="center" vertical="center" wrapText="1"/>
    </xf>
    <xf numFmtId="1" fontId="9" fillId="31" borderId="8" xfId="0" applyNumberFormat="1" applyFont="1" applyFill="1" applyBorder="1" applyAlignment="1">
      <alignment horizontal="center" vertical="center" wrapText="1"/>
    </xf>
    <xf numFmtId="178" fontId="9" fillId="31" borderId="8" xfId="0" applyNumberFormat="1" applyFont="1" applyFill="1" applyBorder="1" applyAlignment="1">
      <alignment horizontal="right" vertical="center" wrapText="1"/>
    </xf>
    <xf numFmtId="0" fontId="9" fillId="31" borderId="8" xfId="0" applyFont="1" applyFill="1" applyBorder="1" applyAlignment="1">
      <alignment horizontal="left" vertical="center" wrapText="1"/>
    </xf>
    <xf numFmtId="0" fontId="10" fillId="31" borderId="8" xfId="0" applyFont="1" applyFill="1" applyBorder="1" applyAlignment="1">
      <alignment horizontal="center" vertical="center" wrapText="1"/>
    </xf>
    <xf numFmtId="1" fontId="9" fillId="31" borderId="8" xfId="0" applyNumberFormat="1" applyFont="1" applyFill="1" applyBorder="1" applyAlignment="1">
      <alignment vertical="center"/>
    </xf>
    <xf numFmtId="3" fontId="9" fillId="31" borderId="8" xfId="0" applyNumberFormat="1" applyFont="1" applyFill="1" applyBorder="1" applyAlignment="1">
      <alignment horizontal="center" vertical="center"/>
    </xf>
    <xf numFmtId="3" fontId="9" fillId="31" borderId="8" xfId="0" applyNumberFormat="1" applyFont="1" applyFill="1" applyBorder="1" applyAlignment="1">
      <alignment horizontal="right" vertical="center"/>
    </xf>
    <xf numFmtId="3" fontId="10" fillId="31" borderId="8" xfId="0" applyNumberFormat="1" applyFont="1" applyFill="1" applyBorder="1" applyAlignment="1">
      <alignment horizontal="right" vertical="center"/>
    </xf>
    <xf numFmtId="3" fontId="10" fillId="31" borderId="8" xfId="0" applyNumberFormat="1" applyFont="1" applyFill="1" applyBorder="1" applyAlignment="1">
      <alignment horizontal="center" vertical="center"/>
    </xf>
    <xf numFmtId="0" fontId="9" fillId="31" borderId="0" xfId="2649" applyFont="1" applyFill="1" applyAlignment="1">
      <alignment horizontal="right" vertical="center" wrapText="1"/>
    </xf>
    <xf numFmtId="0" fontId="9" fillId="31" borderId="8" xfId="2649" applyFont="1" applyFill="1" applyBorder="1" applyAlignment="1">
      <alignment horizontal="center" vertical="center" wrapText="1"/>
    </xf>
    <xf numFmtId="0" fontId="10" fillId="31" borderId="8" xfId="2649" applyFont="1" applyFill="1" applyBorder="1" applyAlignment="1">
      <alignment horizontal="right" vertical="center" wrapText="1"/>
    </xf>
    <xf numFmtId="0" fontId="12" fillId="31" borderId="0" xfId="0" applyFont="1" applyFill="1"/>
    <xf numFmtId="0" fontId="10" fillId="31" borderId="8" xfId="4097" applyFont="1" applyFill="1" applyBorder="1" applyAlignment="1">
      <alignment horizontal="center" vertical="justify" textRotation="90" wrapText="1"/>
    </xf>
    <xf numFmtId="1" fontId="9" fillId="31" borderId="8" xfId="2382" applyNumberFormat="1" applyFont="1" applyFill="1" applyBorder="1" applyAlignment="1">
      <alignment horizontal="right" vertical="center"/>
    </xf>
    <xf numFmtId="49" fontId="9" fillId="31" borderId="8" xfId="0" applyNumberFormat="1" applyFont="1" applyFill="1" applyBorder="1" applyAlignment="1">
      <alignment horizontal="left" vertical="center"/>
    </xf>
    <xf numFmtId="189" fontId="9" fillId="0" borderId="36" xfId="2338" applyNumberFormat="1" applyFont="1" applyFill="1" applyBorder="1" applyAlignment="1">
      <alignment horizontal="right" vertical="center"/>
    </xf>
    <xf numFmtId="186" fontId="9" fillId="0" borderId="36" xfId="2338" applyNumberFormat="1" applyFont="1" applyFill="1" applyBorder="1" applyAlignment="1">
      <alignment horizontal="right" vertical="center"/>
    </xf>
    <xf numFmtId="186" fontId="10" fillId="0" borderId="36" xfId="2338" applyNumberFormat="1" applyFont="1" applyFill="1" applyBorder="1" applyAlignment="1">
      <alignment horizontal="right" vertical="center"/>
    </xf>
    <xf numFmtId="189" fontId="10" fillId="0" borderId="36" xfId="2338" applyNumberFormat="1" applyFont="1" applyFill="1" applyBorder="1" applyAlignment="1">
      <alignment horizontal="right" vertical="center"/>
    </xf>
    <xf numFmtId="0" fontId="9" fillId="31" borderId="8" xfId="0" applyFont="1" applyFill="1" applyBorder="1" applyAlignment="1">
      <alignment horizontal="center" vertical="center"/>
    </xf>
    <xf numFmtId="0" fontId="9" fillId="31" borderId="8" xfId="0" applyFont="1" applyFill="1" applyBorder="1" applyAlignment="1">
      <alignment vertical="center"/>
    </xf>
    <xf numFmtId="0" fontId="0" fillId="31" borderId="0" xfId="0" applyFill="1"/>
    <xf numFmtId="0" fontId="12" fillId="0" borderId="8" xfId="0" applyFont="1" applyBorder="1" applyAlignment="1">
      <alignment horizontal="center" vertical="center" wrapText="1"/>
    </xf>
    <xf numFmtId="0" fontId="12" fillId="0" borderId="0" xfId="0" applyFont="1" applyAlignment="1">
      <alignment horizontal="center" vertical="center"/>
    </xf>
    <xf numFmtId="0" fontId="0" fillId="0" borderId="8" xfId="0" applyBorder="1" applyAlignment="1">
      <alignment horizontal="center" vertical="center"/>
    </xf>
    <xf numFmtId="3" fontId="77" fillId="0" borderId="8" xfId="4092" applyNumberFormat="1" applyFont="1" applyBorder="1" applyAlignment="1">
      <alignment horizontal="right" vertical="center"/>
    </xf>
    <xf numFmtId="0" fontId="12" fillId="0" borderId="8" xfId="0" applyFont="1" applyBorder="1" applyAlignment="1">
      <alignment horizontal="center" vertical="center"/>
    </xf>
    <xf numFmtId="3" fontId="10" fillId="0" borderId="8" xfId="4092" applyNumberFormat="1" applyFont="1" applyBorder="1" applyAlignment="1">
      <alignment horizontal="right" vertical="center"/>
    </xf>
    <xf numFmtId="210" fontId="10" fillId="0" borderId="8" xfId="4092" applyNumberFormat="1" applyFont="1" applyBorder="1" applyAlignment="1">
      <alignment horizontal="center" vertical="center"/>
    </xf>
    <xf numFmtId="0" fontId="0" fillId="0" borderId="0" xfId="0" applyAlignment="1">
      <alignment vertical="center"/>
    </xf>
    <xf numFmtId="0" fontId="13" fillId="31" borderId="8" xfId="0" applyFont="1" applyFill="1" applyBorder="1" applyAlignment="1">
      <alignment vertical="center"/>
    </xf>
    <xf numFmtId="0" fontId="13" fillId="31" borderId="8" xfId="0" applyFont="1" applyFill="1" applyBorder="1"/>
    <xf numFmtId="0" fontId="8" fillId="31" borderId="8" xfId="2649" applyFont="1" applyFill="1" applyBorder="1" applyAlignment="1">
      <alignment horizontal="center" vertical="center"/>
    </xf>
    <xf numFmtId="0" fontId="13" fillId="31" borderId="0" xfId="0" applyFont="1" applyFill="1"/>
    <xf numFmtId="0" fontId="0" fillId="0" borderId="45" xfId="0" applyBorder="1" applyAlignment="1">
      <alignment horizontal="center" vertical="center"/>
    </xf>
    <xf numFmtId="1" fontId="10" fillId="0" borderId="8" xfId="4092" applyNumberFormat="1" applyFont="1" applyBorder="1" applyAlignment="1">
      <alignment horizontal="center" vertical="center"/>
    </xf>
    <xf numFmtId="0" fontId="137" fillId="31" borderId="8" xfId="2649" applyFont="1" applyFill="1" applyBorder="1" applyAlignment="1">
      <alignment horizontal="center" textRotation="90" wrapText="1"/>
    </xf>
    <xf numFmtId="0" fontId="12" fillId="0" borderId="8" xfId="0" applyFont="1" applyBorder="1" applyAlignment="1">
      <alignment vertical="center"/>
    </xf>
    <xf numFmtId="0" fontId="0" fillId="0" borderId="8" xfId="0" applyBorder="1" applyAlignment="1">
      <alignment vertical="center"/>
    </xf>
    <xf numFmtId="0" fontId="138" fillId="0" borderId="0" xfId="4101" applyFont="1" applyAlignment="1">
      <alignment vertical="center"/>
    </xf>
    <xf numFmtId="0" fontId="139" fillId="0" borderId="0" xfId="4101" applyFont="1" applyAlignment="1">
      <alignment vertical="center"/>
    </xf>
    <xf numFmtId="3" fontId="140" fillId="0" borderId="0" xfId="4103" applyNumberFormat="1" applyFont="1" applyAlignment="1">
      <alignment horizontal="center" vertical="center" wrapText="1"/>
    </xf>
    <xf numFmtId="3" fontId="141" fillId="0" borderId="0" xfId="4103" applyNumberFormat="1" applyFont="1" applyAlignment="1">
      <alignment horizontal="center" vertical="center" wrapText="1"/>
    </xf>
    <xf numFmtId="3" fontId="141" fillId="0" borderId="0" xfId="4102" applyNumberFormat="1" applyFont="1" applyAlignment="1">
      <alignment horizontal="center" vertical="center" wrapText="1"/>
    </xf>
    <xf numFmtId="3" fontId="141" fillId="0" borderId="0" xfId="2341" applyNumberFormat="1" applyFont="1" applyAlignment="1">
      <alignment horizontal="center" vertical="center" wrapText="1"/>
    </xf>
    <xf numFmtId="3" fontId="142" fillId="0" borderId="77" xfId="4102" applyNumberFormat="1" applyFont="1" applyBorder="1" applyAlignment="1">
      <alignment horizontal="center" vertical="center"/>
    </xf>
    <xf numFmtId="3" fontId="142" fillId="0" borderId="77" xfId="4102" applyNumberFormat="1" applyFont="1" applyBorder="1" applyAlignment="1">
      <alignment vertical="center"/>
    </xf>
    <xf numFmtId="3" fontId="139" fillId="0" borderId="77" xfId="4102" applyNumberFormat="1" applyFont="1" applyBorder="1" applyAlignment="1">
      <alignment horizontal="center" vertical="center"/>
    </xf>
    <xf numFmtId="3" fontId="142" fillId="0" borderId="77" xfId="2341" applyNumberFormat="1" applyFont="1" applyBorder="1" applyAlignment="1">
      <alignment vertical="center"/>
    </xf>
    <xf numFmtId="3" fontId="139" fillId="0" borderId="81" xfId="4102" applyNumberFormat="1" applyFont="1" applyBorder="1" applyAlignment="1">
      <alignment horizontal="center" vertical="center"/>
    </xf>
    <xf numFmtId="3" fontId="139" fillId="0" borderId="81" xfId="4102" applyNumberFormat="1" applyFont="1" applyBorder="1" applyAlignment="1">
      <alignment vertical="center"/>
    </xf>
    <xf numFmtId="3" fontId="142" fillId="0" borderId="81" xfId="4102" applyNumberFormat="1" applyFont="1" applyBorder="1" applyAlignment="1">
      <alignment horizontal="center" vertical="center"/>
    </xf>
    <xf numFmtId="3" fontId="142" fillId="0" borderId="81" xfId="2341" applyNumberFormat="1" applyFont="1" applyBorder="1" applyAlignment="1">
      <alignment vertical="center"/>
    </xf>
    <xf numFmtId="3" fontId="144" fillId="0" borderId="81" xfId="4102" quotePrefix="1" applyNumberFormat="1" applyFont="1" applyBorder="1" applyAlignment="1">
      <alignment horizontal="left" vertical="center"/>
    </xf>
    <xf numFmtId="3" fontId="144" fillId="0" borderId="81" xfId="4102" applyNumberFormat="1" applyFont="1" applyBorder="1" applyAlignment="1">
      <alignment horizontal="center" vertical="center"/>
    </xf>
    <xf numFmtId="3" fontId="144" fillId="0" borderId="81" xfId="2341" applyNumberFormat="1" applyFont="1" applyBorder="1" applyAlignment="1">
      <alignment vertical="center"/>
    </xf>
    <xf numFmtId="3" fontId="139" fillId="0" borderId="103" xfId="2341" applyNumberFormat="1" applyFont="1" applyFill="1" applyBorder="1" applyAlignment="1">
      <alignment vertical="center"/>
    </xf>
    <xf numFmtId="3" fontId="139" fillId="0" borderId="81" xfId="2341" applyNumberFormat="1" applyFont="1" applyBorder="1" applyAlignment="1">
      <alignment vertical="center"/>
    </xf>
    <xf numFmtId="3" fontId="142" fillId="0" borderId="81" xfId="4102" quotePrefix="1" applyNumberFormat="1" applyFont="1" applyBorder="1" applyAlignment="1">
      <alignment horizontal="left" vertical="center"/>
    </xf>
    <xf numFmtId="3" fontId="147" fillId="0" borderId="0" xfId="4101" applyNumberFormat="1" applyFont="1" applyAlignment="1">
      <alignment horizontal="justify" vertical="center" wrapText="1"/>
    </xf>
    <xf numFmtId="3" fontId="139" fillId="0" borderId="81" xfId="2341" applyNumberFormat="1" applyFont="1" applyFill="1" applyBorder="1" applyAlignment="1">
      <alignment vertical="center"/>
    </xf>
    <xf numFmtId="3" fontId="142" fillId="0" borderId="81" xfId="4102" applyNumberFormat="1" applyFont="1" applyBorder="1" applyAlignment="1">
      <alignment vertical="center"/>
    </xf>
    <xf numFmtId="3" fontId="142" fillId="0" borderId="81" xfId="4102" applyNumberFormat="1" applyFont="1" applyBorder="1" applyAlignment="1">
      <alignment horizontal="center" vertical="center" wrapText="1"/>
    </xf>
    <xf numFmtId="3" fontId="142" fillId="0" borderId="103" xfId="2341" applyNumberFormat="1" applyFont="1" applyFill="1" applyBorder="1" applyAlignment="1">
      <alignment vertical="center"/>
    </xf>
    <xf numFmtId="3" fontId="142" fillId="0" borderId="81" xfId="4102" applyNumberFormat="1" applyFont="1" applyBorder="1" applyAlignment="1">
      <alignment vertical="center" wrapText="1"/>
    </xf>
    <xf numFmtId="3" fontId="142" fillId="0" borderId="81" xfId="4102" applyNumberFormat="1" applyFont="1" applyBorder="1" applyAlignment="1">
      <alignment horizontal="left" vertical="center"/>
    </xf>
    <xf numFmtId="3" fontId="139" fillId="0" borderId="93" xfId="4102" applyNumberFormat="1" applyFont="1" applyBorder="1" applyAlignment="1">
      <alignment horizontal="center" vertical="center"/>
    </xf>
    <xf numFmtId="3" fontId="142" fillId="0" borderId="86" xfId="4102" applyNumberFormat="1" applyFont="1" applyBorder="1" applyAlignment="1">
      <alignment horizontal="center" vertical="center"/>
    </xf>
    <xf numFmtId="3" fontId="142" fillId="0" borderId="86" xfId="4102" applyNumberFormat="1" applyFont="1" applyBorder="1" applyAlignment="1">
      <alignment vertical="center"/>
    </xf>
    <xf numFmtId="3" fontId="139" fillId="0" borderId="104" xfId="4102" applyNumberFormat="1" applyFont="1" applyBorder="1" applyAlignment="1">
      <alignment horizontal="center" vertical="center"/>
    </xf>
    <xf numFmtId="3" fontId="142" fillId="0" borderId="86" xfId="2341" applyNumberFormat="1" applyFont="1" applyBorder="1" applyAlignment="1">
      <alignment vertical="center"/>
    </xf>
    <xf numFmtId="3" fontId="139" fillId="0" borderId="0" xfId="4101" applyNumberFormat="1" applyFont="1" applyAlignment="1">
      <alignment vertical="center"/>
    </xf>
    <xf numFmtId="189" fontId="6" fillId="31" borderId="0" xfId="2338" applyNumberFormat="1" applyFont="1" applyFill="1"/>
    <xf numFmtId="189" fontId="6" fillId="22" borderId="0" xfId="2338" applyNumberFormat="1" applyFont="1" applyFill="1"/>
    <xf numFmtId="186" fontId="9" fillId="35" borderId="81" xfId="2340" applyNumberFormat="1" applyFont="1" applyFill="1" applyBorder="1" applyAlignment="1">
      <alignment horizontal="right" vertical="center"/>
    </xf>
    <xf numFmtId="3" fontId="9" fillId="35" borderId="8" xfId="2381" applyNumberFormat="1" applyFont="1" applyFill="1" applyBorder="1" applyAlignment="1">
      <alignment horizontal="right" vertical="center"/>
    </xf>
    <xf numFmtId="3" fontId="9" fillId="31" borderId="8" xfId="2381" applyNumberFormat="1" applyFont="1" applyFill="1" applyBorder="1" applyAlignment="1">
      <alignment horizontal="right" vertical="center"/>
    </xf>
    <xf numFmtId="3" fontId="9" fillId="0" borderId="8" xfId="2381" applyNumberFormat="1" applyFont="1" applyBorder="1" applyAlignment="1">
      <alignment horizontal="right" vertical="center"/>
    </xf>
    <xf numFmtId="0" fontId="7" fillId="0" borderId="0" xfId="0" applyFont="1" applyAlignment="1">
      <alignment vertical="center"/>
    </xf>
    <xf numFmtId="0" fontId="10" fillId="0" borderId="0" xfId="0" applyFont="1" applyAlignment="1">
      <alignment vertical="center" wrapText="1"/>
    </xf>
    <xf numFmtId="38" fontId="13" fillId="0" borderId="0" xfId="2383" applyNumberFormat="1" applyFont="1" applyAlignment="1">
      <alignment horizontal="centerContinuous" vertical="center"/>
    </xf>
    <xf numFmtId="38" fontId="16" fillId="0" borderId="0" xfId="2383" applyNumberFormat="1" applyFont="1" applyAlignment="1">
      <alignment horizontal="centerContinuous" vertical="center"/>
    </xf>
    <xf numFmtId="38" fontId="133" fillId="0" borderId="8" xfId="2383" applyNumberFormat="1" applyFont="1" applyBorder="1" applyAlignment="1">
      <alignment horizontal="center" vertical="center"/>
    </xf>
    <xf numFmtId="38" fontId="133" fillId="0" borderId="8" xfId="2383" applyNumberFormat="1" applyFont="1" applyBorder="1" applyAlignment="1">
      <alignment horizontal="center" vertical="center" wrapText="1"/>
    </xf>
    <xf numFmtId="38" fontId="133" fillId="33" borderId="8" xfId="2383" applyNumberFormat="1" applyFont="1" applyFill="1" applyBorder="1" applyAlignment="1">
      <alignment horizontal="center" vertical="center"/>
    </xf>
    <xf numFmtId="38" fontId="133" fillId="33" borderId="8" xfId="2383" applyNumberFormat="1" applyFont="1" applyFill="1" applyBorder="1" applyAlignment="1">
      <alignment vertical="center" wrapText="1"/>
    </xf>
    <xf numFmtId="38" fontId="77" fillId="33" borderId="8" xfId="2383" applyNumberFormat="1" applyFont="1" applyFill="1" applyBorder="1" applyAlignment="1">
      <alignment horizontal="center" vertical="center" wrapText="1"/>
    </xf>
    <xf numFmtId="3" fontId="10" fillId="0" borderId="0" xfId="0" applyNumberFormat="1" applyFont="1" applyAlignment="1">
      <alignment vertical="center"/>
    </xf>
    <xf numFmtId="38" fontId="133" fillId="0" borderId="8" xfId="2383" applyNumberFormat="1" applyFont="1" applyBorder="1" applyAlignment="1">
      <alignment vertical="center" wrapText="1"/>
    </xf>
    <xf numFmtId="38" fontId="77" fillId="0" borderId="8" xfId="2383" applyNumberFormat="1" applyFont="1" applyBorder="1" applyAlignment="1">
      <alignment horizontal="center" vertical="center"/>
    </xf>
    <xf numFmtId="38" fontId="77" fillId="0" borderId="8" xfId="2383" applyNumberFormat="1" applyFont="1" applyBorder="1" applyAlignment="1">
      <alignment vertical="center" wrapText="1"/>
    </xf>
    <xf numFmtId="38" fontId="77" fillId="0" borderId="8" xfId="2383" applyNumberFormat="1" applyFont="1" applyBorder="1" applyAlignment="1">
      <alignment horizontal="center" vertical="center" wrapText="1"/>
    </xf>
    <xf numFmtId="38" fontId="133" fillId="33" borderId="8" xfId="2383" applyNumberFormat="1" applyFont="1" applyFill="1" applyBorder="1" applyAlignment="1">
      <alignment horizontal="center" vertical="center" wrapText="1"/>
    </xf>
    <xf numFmtId="38" fontId="9" fillId="0" borderId="8" xfId="2383" applyNumberFormat="1" applyFont="1" applyBorder="1" applyAlignment="1">
      <alignment horizontal="center" vertical="center"/>
    </xf>
    <xf numFmtId="38" fontId="9" fillId="0" borderId="8" xfId="2383" applyNumberFormat="1" applyFont="1" applyBorder="1" applyAlignment="1">
      <alignment vertical="center" wrapText="1"/>
    </xf>
    <xf numFmtId="38" fontId="9" fillId="0" borderId="8" xfId="2383" applyNumberFormat="1" applyFont="1" applyBorder="1" applyAlignment="1">
      <alignment horizontal="center" vertical="center" wrapText="1"/>
    </xf>
    <xf numFmtId="0" fontId="78" fillId="0" borderId="0" xfId="0" applyFont="1" applyAlignment="1">
      <alignment horizontal="justify" vertical="center"/>
    </xf>
    <xf numFmtId="0" fontId="78" fillId="0" borderId="0" xfId="0" applyFont="1" applyAlignment="1">
      <alignment horizontal="left" vertical="center" indent="1"/>
    </xf>
    <xf numFmtId="38" fontId="10" fillId="33" borderId="8" xfId="2383" applyNumberFormat="1" applyFont="1" applyFill="1" applyBorder="1" applyAlignment="1">
      <alignment horizontal="center" vertical="center"/>
    </xf>
    <xf numFmtId="38" fontId="10" fillId="33" borderId="8" xfId="2383" applyNumberFormat="1" applyFont="1" applyFill="1" applyBorder="1" applyAlignment="1">
      <alignment vertical="center" wrapText="1"/>
    </xf>
    <xf numFmtId="38" fontId="10" fillId="33" borderId="8" xfId="2383" applyNumberFormat="1" applyFont="1" applyFill="1" applyBorder="1" applyAlignment="1">
      <alignment horizontal="center" vertical="center" wrapText="1"/>
    </xf>
    <xf numFmtId="38" fontId="133" fillId="34" borderId="8" xfId="2383" applyNumberFormat="1" applyFont="1" applyFill="1" applyBorder="1" applyAlignment="1">
      <alignment horizontal="center" vertical="center"/>
    </xf>
    <xf numFmtId="38" fontId="133" fillId="34" borderId="8" xfId="2383" applyNumberFormat="1" applyFont="1" applyFill="1" applyBorder="1" applyAlignment="1">
      <alignment vertical="center" wrapText="1"/>
    </xf>
    <xf numFmtId="38" fontId="77" fillId="34" borderId="8" xfId="2383" applyNumberFormat="1" applyFont="1" applyFill="1" applyBorder="1" applyAlignment="1">
      <alignment horizontal="center" vertical="center" wrapText="1"/>
    </xf>
    <xf numFmtId="0" fontId="72" fillId="0" borderId="0" xfId="0" applyFont="1" applyAlignment="1">
      <alignment vertical="center"/>
    </xf>
    <xf numFmtId="0" fontId="78" fillId="0" borderId="0" xfId="0" applyFont="1" applyAlignment="1">
      <alignment vertical="center"/>
    </xf>
    <xf numFmtId="0" fontId="12" fillId="0" borderId="8" xfId="0" applyFont="1" applyBorder="1" applyAlignment="1">
      <alignment vertical="center" wrapText="1"/>
    </xf>
    <xf numFmtId="0" fontId="6" fillId="0" borderId="8" xfId="0" applyFont="1" applyBorder="1" applyAlignment="1">
      <alignment vertical="center" wrapText="1"/>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6" fillId="0" borderId="0" xfId="0" applyFont="1" applyAlignment="1">
      <alignment horizontal="center" vertical="center"/>
    </xf>
    <xf numFmtId="210" fontId="9" fillId="0" borderId="8" xfId="4092" applyNumberFormat="1" applyFont="1" applyBorder="1" applyAlignment="1">
      <alignment horizontal="center" vertical="center"/>
    </xf>
    <xf numFmtId="3" fontId="9" fillId="0" borderId="8" xfId="4092" applyNumberFormat="1" applyFont="1" applyBorder="1" applyAlignment="1">
      <alignment horizontal="right" vertical="center"/>
    </xf>
    <xf numFmtId="0" fontId="6" fillId="0" borderId="0" xfId="0" applyFont="1" applyAlignment="1">
      <alignment vertical="center" wrapText="1"/>
    </xf>
    <xf numFmtId="3" fontId="9" fillId="35" borderId="8" xfId="4092" applyNumberFormat="1" applyFont="1" applyFill="1" applyBorder="1" applyAlignment="1">
      <alignment horizontal="right" vertical="center"/>
    </xf>
    <xf numFmtId="0" fontId="6" fillId="0" borderId="8" xfId="0" applyFont="1" applyBorder="1" applyAlignment="1">
      <alignment vertical="center"/>
    </xf>
    <xf numFmtId="3" fontId="138" fillId="0" borderId="0" xfId="4102" applyNumberFormat="1" applyFont="1" applyAlignment="1">
      <alignment horizontal="center" vertical="center" wrapText="1"/>
    </xf>
    <xf numFmtId="0" fontId="12" fillId="30" borderId="8" xfId="0" applyFont="1" applyFill="1" applyBorder="1" applyAlignment="1">
      <alignment horizontal="center" vertical="center"/>
    </xf>
    <xf numFmtId="0" fontId="12" fillId="30" borderId="8" xfId="0" applyFont="1" applyFill="1" applyBorder="1" applyAlignment="1">
      <alignment vertical="center" wrapText="1"/>
    </xf>
    <xf numFmtId="210" fontId="10" fillId="30" borderId="8" xfId="4092" applyNumberFormat="1" applyFont="1" applyFill="1" applyBorder="1" applyAlignment="1">
      <alignment horizontal="center" vertical="center"/>
    </xf>
    <xf numFmtId="3" fontId="10" fillId="30" borderId="8" xfId="4092" applyNumberFormat="1" applyFont="1" applyFill="1" applyBorder="1" applyAlignment="1">
      <alignment horizontal="right" vertical="center"/>
    </xf>
    <xf numFmtId="0" fontId="12" fillId="30" borderId="0" xfId="0" applyFont="1" applyFill="1" applyAlignment="1">
      <alignment vertical="center"/>
    </xf>
    <xf numFmtId="1" fontId="9" fillId="31" borderId="0" xfId="0" applyNumberFormat="1" applyFont="1" applyFill="1"/>
    <xf numFmtId="0" fontId="9" fillId="0" borderId="0" xfId="2379" applyFont="1" applyAlignment="1">
      <alignment vertical="center" wrapText="1"/>
    </xf>
    <xf numFmtId="49" fontId="9" fillId="0" borderId="0" xfId="2379" applyNumberFormat="1" applyFont="1" applyAlignment="1">
      <alignment horizontal="center" vertical="center"/>
    </xf>
    <xf numFmtId="0" fontId="9" fillId="0" borderId="0" xfId="2379" applyFont="1" applyAlignment="1">
      <alignment horizontal="center" vertical="center"/>
    </xf>
    <xf numFmtId="0" fontId="9" fillId="0" borderId="0" xfId="2379" applyFont="1" applyAlignment="1">
      <alignment horizontal="right" vertical="center"/>
    </xf>
    <xf numFmtId="189" fontId="9" fillId="0" borderId="0" xfId="2338" applyNumberFormat="1" applyFont="1" applyFill="1" applyAlignment="1">
      <alignment horizontal="right" vertical="center"/>
    </xf>
    <xf numFmtId="0" fontId="9" fillId="0" borderId="0" xfId="2379" applyFont="1" applyAlignment="1">
      <alignment vertical="center"/>
    </xf>
    <xf numFmtId="0" fontId="9" fillId="0" borderId="8" xfId="2379" applyFont="1" applyBorder="1" applyAlignment="1">
      <alignment horizontal="center" vertical="center"/>
    </xf>
    <xf numFmtId="0" fontId="10" fillId="0" borderId="0" xfId="2379" applyFont="1" applyAlignment="1">
      <alignment horizontal="center" vertical="center"/>
    </xf>
    <xf numFmtId="186" fontId="10" fillId="0" borderId="36" xfId="2338" applyNumberFormat="1" applyFont="1" applyFill="1" applyBorder="1" applyAlignment="1">
      <alignment horizontal="center" vertical="center" wrapText="1"/>
    </xf>
    <xf numFmtId="189" fontId="10" fillId="0" borderId="36" xfId="2338" applyNumberFormat="1" applyFont="1" applyFill="1" applyBorder="1" applyAlignment="1">
      <alignment horizontal="center" vertical="center"/>
    </xf>
    <xf numFmtId="0" fontId="10" fillId="0" borderId="36" xfId="2379" applyFont="1" applyBorder="1" applyAlignment="1">
      <alignment horizontal="center" vertical="center"/>
    </xf>
    <xf numFmtId="189" fontId="10" fillId="0" borderId="99" xfId="2338" applyNumberFormat="1" applyFont="1" applyFill="1" applyBorder="1" applyAlignment="1">
      <alignment horizontal="center" vertical="center"/>
    </xf>
    <xf numFmtId="0" fontId="9" fillId="0" borderId="98" xfId="2379" applyFont="1" applyBorder="1" applyAlignment="1">
      <alignment horizontal="center" vertical="center"/>
    </xf>
    <xf numFmtId="0" fontId="9" fillId="0" borderId="36" xfId="2379" applyFont="1" applyBorder="1" applyAlignment="1">
      <alignment horizontal="center" vertical="center" wrapText="1"/>
    </xf>
    <xf numFmtId="49" fontId="9" fillId="0" borderId="36" xfId="2379" applyNumberFormat="1" applyFont="1" applyBorder="1" applyAlignment="1">
      <alignment horizontal="center" vertical="center"/>
    </xf>
    <xf numFmtId="0" fontId="9" fillId="0" borderId="36" xfId="2379" applyFont="1" applyBorder="1" applyAlignment="1">
      <alignment horizontal="center" vertical="center"/>
    </xf>
    <xf numFmtId="189" fontId="9" fillId="0" borderId="36" xfId="2338" applyNumberFormat="1" applyFont="1" applyFill="1" applyBorder="1" applyAlignment="1">
      <alignment horizontal="center" vertical="center"/>
    </xf>
    <xf numFmtId="189" fontId="9" fillId="0" borderId="99" xfId="2338" applyNumberFormat="1" applyFont="1" applyFill="1" applyBorder="1" applyAlignment="1">
      <alignment horizontal="center" vertical="center"/>
    </xf>
    <xf numFmtId="0" fontId="9" fillId="0" borderId="8" xfId="2379" applyFont="1" applyBorder="1" applyAlignment="1">
      <alignment vertical="center"/>
    </xf>
    <xf numFmtId="0" fontId="9" fillId="0" borderId="36" xfId="0" applyFont="1" applyBorder="1" applyAlignment="1">
      <alignment horizontal="right" vertical="center"/>
    </xf>
    <xf numFmtId="0" fontId="9" fillId="0" borderId="99" xfId="0" applyFont="1" applyBorder="1" applyAlignment="1">
      <alignment horizontal="right" vertical="center"/>
    </xf>
    <xf numFmtId="186" fontId="9" fillId="0" borderId="0" xfId="2379" applyNumberFormat="1" applyFont="1" applyAlignment="1">
      <alignment vertical="center"/>
    </xf>
    <xf numFmtId="0" fontId="10" fillId="0" borderId="98" xfId="0" applyFont="1" applyBorder="1" applyAlignment="1">
      <alignment horizontal="center" vertical="center"/>
    </xf>
    <xf numFmtId="0" fontId="10" fillId="0" borderId="36" xfId="0" applyFont="1" applyBorder="1" applyAlignment="1">
      <alignment vertical="center" wrapText="1"/>
    </xf>
    <xf numFmtId="49" fontId="10" fillId="0" borderId="98" xfId="2645" applyNumberFormat="1" applyFont="1" applyBorder="1" applyAlignment="1">
      <alignment horizontal="center" vertical="center"/>
    </xf>
    <xf numFmtId="0" fontId="10" fillId="0" borderId="36" xfId="2645" applyFont="1" applyBorder="1" applyAlignment="1">
      <alignment vertical="center" wrapText="1"/>
    </xf>
    <xf numFmtId="0" fontId="10" fillId="0" borderId="36" xfId="2645" applyFont="1" applyBorder="1" applyAlignment="1">
      <alignment horizontal="center" vertical="center"/>
    </xf>
    <xf numFmtId="3" fontId="10" fillId="0" borderId="36" xfId="2645" applyNumberFormat="1" applyFont="1" applyBorder="1" applyAlignment="1">
      <alignment horizontal="center" vertical="center"/>
    </xf>
    <xf numFmtId="186" fontId="10" fillId="0" borderId="36" xfId="0" applyNumberFormat="1" applyFont="1" applyBorder="1" applyAlignment="1">
      <alignment horizontal="right" vertical="center"/>
    </xf>
    <xf numFmtId="186" fontId="10" fillId="0" borderId="99" xfId="0" applyNumberFormat="1" applyFont="1" applyBorder="1" applyAlignment="1">
      <alignment horizontal="right" vertical="center"/>
    </xf>
    <xf numFmtId="49" fontId="9" fillId="0" borderId="98" xfId="2645" applyNumberFormat="1" applyFont="1" applyBorder="1" applyAlignment="1">
      <alignment horizontal="center" vertical="center"/>
    </xf>
    <xf numFmtId="0" fontId="9" fillId="0" borderId="36" xfId="2377" applyFont="1" applyBorder="1" applyAlignment="1">
      <alignment vertical="center" wrapText="1"/>
    </xf>
    <xf numFmtId="0" fontId="9" fillId="0" borderId="36" xfId="2377" applyFont="1" applyBorder="1" applyAlignment="1">
      <alignment horizontal="center" vertical="center"/>
    </xf>
    <xf numFmtId="178" fontId="9" fillId="0" borderId="36" xfId="2645" applyNumberFormat="1" applyFont="1" applyBorder="1" applyAlignment="1">
      <alignment horizontal="center" vertical="center"/>
    </xf>
    <xf numFmtId="186" fontId="9" fillId="0" borderId="36" xfId="0" applyNumberFormat="1" applyFont="1" applyBorder="1" applyAlignment="1">
      <alignment horizontal="right" vertical="center"/>
    </xf>
    <xf numFmtId="189" fontId="9" fillId="0" borderId="99" xfId="2338" applyNumberFormat="1" applyFont="1" applyFill="1" applyBorder="1" applyAlignment="1">
      <alignment horizontal="right" vertical="center"/>
    </xf>
    <xf numFmtId="0" fontId="9" fillId="0" borderId="0" xfId="2379" applyFont="1" applyAlignment="1">
      <alignment horizontal="right"/>
    </xf>
    <xf numFmtId="0" fontId="10" fillId="0" borderId="0" xfId="2379" applyFont="1" applyAlignment="1">
      <alignment vertical="center"/>
    </xf>
    <xf numFmtId="0" fontId="10" fillId="0" borderId="36" xfId="2377" applyFont="1" applyBorder="1" applyAlignment="1">
      <alignment vertical="center" wrapText="1"/>
    </xf>
    <xf numFmtId="0" fontId="10" fillId="0" borderId="36" xfId="2377" applyFont="1" applyBorder="1" applyAlignment="1">
      <alignment horizontal="center" vertical="center"/>
    </xf>
    <xf numFmtId="3" fontId="9" fillId="0" borderId="36" xfId="2645" applyNumberFormat="1" applyFont="1" applyBorder="1" applyAlignment="1">
      <alignment horizontal="center" vertical="center"/>
    </xf>
    <xf numFmtId="0" fontId="9" fillId="0" borderId="36" xfId="2645" applyFont="1" applyBorder="1" applyAlignment="1">
      <alignment vertical="center" wrapText="1"/>
    </xf>
    <xf numFmtId="1" fontId="9" fillId="0" borderId="36" xfId="0" applyNumberFormat="1" applyFont="1" applyBorder="1" applyAlignment="1">
      <alignment horizontal="center" vertical="center"/>
    </xf>
    <xf numFmtId="186" fontId="9" fillId="0" borderId="99" xfId="2338" applyNumberFormat="1" applyFont="1" applyFill="1" applyBorder="1" applyAlignment="1">
      <alignment horizontal="right" vertical="center"/>
    </xf>
    <xf numFmtId="3" fontId="10" fillId="0" borderId="36" xfId="0" applyNumberFormat="1" applyFont="1" applyBorder="1" applyAlignment="1">
      <alignment horizontal="center" vertical="center"/>
    </xf>
    <xf numFmtId="0" fontId="9" fillId="0" borderId="98" xfId="0" applyFont="1" applyBorder="1" applyAlignment="1">
      <alignment horizontal="center" vertical="center"/>
    </xf>
    <xf numFmtId="0" fontId="9" fillId="0" borderId="36" xfId="0" applyFont="1" applyBorder="1" applyAlignment="1">
      <alignment vertical="center" wrapText="1"/>
    </xf>
    <xf numFmtId="0" fontId="9" fillId="0" borderId="36" xfId="0" applyFont="1" applyBorder="1" applyAlignment="1">
      <alignment horizontal="justify" vertical="center" wrapText="1"/>
    </xf>
    <xf numFmtId="250" fontId="9" fillId="0" borderId="36" xfId="0" applyNumberFormat="1" applyFont="1" applyBorder="1" applyAlignment="1">
      <alignment horizontal="center" vertical="center"/>
    </xf>
    <xf numFmtId="3" fontId="9" fillId="0" borderId="36" xfId="0" applyNumberFormat="1" applyFont="1" applyBorder="1" applyAlignment="1">
      <alignment horizontal="center" vertical="center"/>
    </xf>
    <xf numFmtId="0" fontId="9" fillId="0" borderId="98" xfId="0" quotePrefix="1" applyFont="1" applyBorder="1" applyAlignment="1">
      <alignment horizontal="center" vertical="center"/>
    </xf>
    <xf numFmtId="0" fontId="10" fillId="0" borderId="36" xfId="0" applyFont="1" applyBorder="1" applyAlignment="1">
      <alignment horizontal="center" vertical="center"/>
    </xf>
    <xf numFmtId="0" fontId="9" fillId="0" borderId="36" xfId="2646" applyFont="1" applyBorder="1" applyAlignment="1">
      <alignment vertical="center" wrapText="1"/>
    </xf>
    <xf numFmtId="0" fontId="9" fillId="0" borderId="36" xfId="2646" applyFont="1" applyBorder="1" applyAlignment="1">
      <alignment horizontal="center" vertical="center"/>
    </xf>
    <xf numFmtId="1" fontId="9" fillId="0" borderId="36" xfId="2646" applyNumberFormat="1" applyFont="1" applyBorder="1" applyAlignment="1">
      <alignment horizontal="center" vertical="center"/>
    </xf>
    <xf numFmtId="186" fontId="9" fillId="0" borderId="36" xfId="2379" applyNumberFormat="1" applyFont="1" applyBorder="1" applyAlignment="1">
      <alignment horizontal="right" vertical="center"/>
    </xf>
    <xf numFmtId="186" fontId="9" fillId="0" borderId="99" xfId="0" applyNumberFormat="1" applyFont="1" applyBorder="1" applyAlignment="1">
      <alignment horizontal="right" vertical="center"/>
    </xf>
    <xf numFmtId="0" fontId="9" fillId="0" borderId="36" xfId="0" applyFont="1" applyBorder="1" applyAlignment="1">
      <alignment horizontal="left" vertical="center" wrapText="1"/>
    </xf>
    <xf numFmtId="2" fontId="9" fillId="0" borderId="98" xfId="0" applyNumberFormat="1" applyFont="1" applyBorder="1" applyAlignment="1">
      <alignment horizontal="center" vertical="center" wrapText="1"/>
    </xf>
    <xf numFmtId="0" fontId="9" fillId="0" borderId="36" xfId="2647" applyFont="1" applyBorder="1" applyAlignment="1">
      <alignment horizontal="left" vertical="center" wrapText="1"/>
    </xf>
    <xf numFmtId="0" fontId="9" fillId="0" borderId="36" xfId="2378" applyFont="1" applyBorder="1" applyAlignment="1">
      <alignment horizontal="center" vertical="center"/>
    </xf>
    <xf numFmtId="251" fontId="9" fillId="0" borderId="0" xfId="2379" applyNumberFormat="1" applyFont="1" applyAlignment="1">
      <alignment vertical="center"/>
    </xf>
    <xf numFmtId="3" fontId="9" fillId="0" borderId="36" xfId="2647" applyNumberFormat="1" applyFont="1" applyBorder="1" applyAlignment="1">
      <alignment horizontal="right" vertical="center"/>
    </xf>
    <xf numFmtId="186" fontId="9" fillId="0" borderId="36" xfId="0" applyNumberFormat="1" applyFont="1" applyBorder="1" applyAlignment="1">
      <alignment horizontal="center" vertical="center"/>
    </xf>
    <xf numFmtId="1" fontId="10" fillId="0" borderId="36" xfId="0" applyNumberFormat="1" applyFont="1" applyBorder="1" applyAlignment="1">
      <alignment horizontal="center" vertical="center"/>
    </xf>
    <xf numFmtId="186" fontId="9" fillId="0" borderId="0" xfId="0" applyNumberFormat="1" applyFont="1" applyAlignment="1">
      <alignment horizontal="center" vertical="center"/>
    </xf>
    <xf numFmtId="0" fontId="9" fillId="0" borderId="36" xfId="0" applyFont="1" applyBorder="1" applyAlignment="1">
      <alignment horizontal="center" vertical="center"/>
    </xf>
    <xf numFmtId="3" fontId="9" fillId="0" borderId="36" xfId="0" applyNumberFormat="1" applyFont="1" applyBorder="1" applyAlignment="1">
      <alignment horizontal="right" vertical="center"/>
    </xf>
    <xf numFmtId="3" fontId="9" fillId="0" borderId="36" xfId="2379" applyNumberFormat="1" applyFont="1" applyBorder="1" applyAlignment="1">
      <alignment horizontal="right" vertical="center"/>
    </xf>
    <xf numFmtId="49" fontId="9" fillId="0" borderId="98" xfId="0" applyNumberFormat="1" applyFont="1" applyBorder="1" applyAlignment="1">
      <alignment horizontal="center" vertical="center"/>
    </xf>
    <xf numFmtId="1" fontId="9" fillId="0" borderId="36" xfId="0" applyNumberFormat="1" applyFont="1" applyBorder="1" applyAlignment="1">
      <alignment vertical="center" wrapText="1"/>
    </xf>
    <xf numFmtId="0" fontId="10" fillId="0" borderId="36" xfId="0" applyFont="1" applyBorder="1" applyAlignment="1">
      <alignment horizontal="right" vertical="center"/>
    </xf>
    <xf numFmtId="3" fontId="10" fillId="0" borderId="36" xfId="2379" applyNumberFormat="1" applyFont="1" applyBorder="1" applyAlignment="1">
      <alignment horizontal="right" vertical="center"/>
    </xf>
    <xf numFmtId="3" fontId="10" fillId="0" borderId="36" xfId="0" applyNumberFormat="1" applyFont="1" applyBorder="1" applyAlignment="1">
      <alignment horizontal="right" vertical="center"/>
    </xf>
    <xf numFmtId="186" fontId="9" fillId="0" borderId="81" xfId="0" applyNumberFormat="1" applyFont="1" applyBorder="1" applyAlignment="1">
      <alignment horizontal="right" vertical="center"/>
    </xf>
    <xf numFmtId="186" fontId="10" fillId="0" borderId="99" xfId="2338" applyNumberFormat="1" applyFont="1" applyFill="1" applyBorder="1" applyAlignment="1">
      <alignment horizontal="right" vertical="center"/>
    </xf>
    <xf numFmtId="186" fontId="9" fillId="0" borderId="36" xfId="0" applyNumberFormat="1" applyFont="1" applyBorder="1" applyAlignment="1">
      <alignment vertical="center"/>
    </xf>
    <xf numFmtId="49" fontId="9" fillId="0" borderId="98" xfId="4093" applyNumberFormat="1" applyFont="1" applyBorder="1" applyAlignment="1">
      <alignment horizontal="center" vertical="center"/>
    </xf>
    <xf numFmtId="186" fontId="10" fillId="0" borderId="0" xfId="2379" applyNumberFormat="1" applyFont="1" applyAlignment="1">
      <alignment vertical="center"/>
    </xf>
    <xf numFmtId="0" fontId="9" fillId="0" borderId="101" xfId="0" applyFont="1" applyBorder="1" applyAlignment="1">
      <alignment horizontal="center" vertical="center"/>
    </xf>
    <xf numFmtId="0" fontId="9" fillId="0" borderId="101" xfId="0" applyFont="1" applyBorder="1" applyAlignment="1">
      <alignment horizontal="right" vertical="center"/>
    </xf>
    <xf numFmtId="3" fontId="9" fillId="0" borderId="101" xfId="0" applyNumberFormat="1" applyFont="1" applyBorder="1" applyAlignment="1">
      <alignment horizontal="right" vertical="center"/>
    </xf>
    <xf numFmtId="189" fontId="9" fillId="0" borderId="101" xfId="2338" applyNumberFormat="1" applyFont="1" applyFill="1" applyBorder="1" applyAlignment="1">
      <alignment horizontal="right" vertical="center"/>
    </xf>
    <xf numFmtId="186" fontId="10" fillId="0" borderId="101" xfId="2338" applyNumberFormat="1" applyFont="1" applyFill="1" applyBorder="1" applyAlignment="1">
      <alignment horizontal="right" vertical="center"/>
    </xf>
    <xf numFmtId="186" fontId="10" fillId="0" borderId="102" xfId="2338" applyNumberFormat="1" applyFont="1" applyFill="1" applyBorder="1" applyAlignment="1">
      <alignment horizontal="right" vertical="center"/>
    </xf>
    <xf numFmtId="49" fontId="9" fillId="0" borderId="46" xfId="2645" applyNumberFormat="1" applyFont="1" applyBorder="1" applyAlignment="1">
      <alignment horizontal="center" vertical="center"/>
    </xf>
    <xf numFmtId="0" fontId="9" fillId="0" borderId="77" xfId="2645" applyFont="1" applyBorder="1" applyAlignment="1">
      <alignment vertical="center" wrapText="1"/>
    </xf>
    <xf numFmtId="0" fontId="9" fillId="0" borderId="77" xfId="0" applyFont="1" applyBorder="1" applyAlignment="1">
      <alignment horizontal="center" vertical="center"/>
    </xf>
    <xf numFmtId="1" fontId="9" fillId="0" borderId="77" xfId="0" applyNumberFormat="1" applyFont="1" applyBorder="1" applyAlignment="1">
      <alignment horizontal="center" vertical="center"/>
    </xf>
    <xf numFmtId="0" fontId="9" fillId="0" borderId="77" xfId="0" applyFont="1" applyBorder="1" applyAlignment="1">
      <alignment horizontal="right" vertical="center"/>
    </xf>
    <xf numFmtId="186" fontId="9" fillId="0" borderId="77" xfId="2338" applyNumberFormat="1" applyFont="1" applyFill="1" applyBorder="1" applyAlignment="1">
      <alignment horizontal="right" vertical="center"/>
    </xf>
    <xf numFmtId="189" fontId="9" fillId="0" borderId="77" xfId="2338" applyNumberFormat="1" applyFont="1" applyFill="1" applyBorder="1" applyAlignment="1">
      <alignment horizontal="right" vertical="center"/>
    </xf>
    <xf numFmtId="186" fontId="9" fillId="0" borderId="91" xfId="2338" applyNumberFormat="1" applyFont="1" applyFill="1" applyBorder="1" applyAlignment="1">
      <alignment horizontal="right" vertical="center"/>
    </xf>
    <xf numFmtId="0" fontId="6" fillId="0" borderId="0" xfId="0" applyFont="1" applyAlignment="1">
      <alignment horizontal="right" vertical="center"/>
    </xf>
    <xf numFmtId="186" fontId="9" fillId="36" borderId="36" xfId="2338" applyNumberFormat="1" applyFont="1" applyFill="1" applyBorder="1" applyAlignment="1">
      <alignment horizontal="right" vertical="center"/>
    </xf>
    <xf numFmtId="3" fontId="9" fillId="0" borderId="0" xfId="2379" applyNumberFormat="1" applyFont="1" applyAlignment="1">
      <alignment vertical="center"/>
    </xf>
    <xf numFmtId="49" fontId="9" fillId="31" borderId="8" xfId="0" applyNumberFormat="1" applyFont="1" applyFill="1" applyBorder="1" applyAlignment="1">
      <alignment horizontal="left" vertical="center" wrapText="1"/>
    </xf>
    <xf numFmtId="0" fontId="72" fillId="0" borderId="8" xfId="0" applyFont="1" applyBorder="1" applyAlignment="1">
      <alignment horizontal="center" vertical="center" wrapText="1"/>
    </xf>
    <xf numFmtId="0" fontId="72" fillId="0" borderId="8" xfId="0" applyFont="1" applyBorder="1" applyAlignment="1">
      <alignment horizontal="left" vertical="center" wrapText="1"/>
    </xf>
    <xf numFmtId="0" fontId="78" fillId="0" borderId="8" xfId="0" applyFont="1" applyBorder="1" applyAlignment="1">
      <alignment horizontal="center" vertical="center" wrapText="1"/>
    </xf>
    <xf numFmtId="0" fontId="78" fillId="0" borderId="8" xfId="0" applyFont="1" applyBorder="1" applyAlignment="1">
      <alignment horizontal="left" vertical="center" wrapText="1"/>
    </xf>
    <xf numFmtId="0" fontId="78" fillId="0" borderId="8" xfId="0" applyFont="1" applyBorder="1" applyAlignment="1">
      <alignment horizontal="center" vertical="center"/>
    </xf>
    <xf numFmtId="166" fontId="9" fillId="0" borderId="8" xfId="0" applyNumberFormat="1" applyFont="1" applyBorder="1" applyAlignment="1">
      <alignment vertical="center"/>
    </xf>
    <xf numFmtId="49" fontId="78" fillId="0" borderId="8" xfId="0" applyNumberFormat="1" applyFont="1" applyBorder="1" applyAlignment="1">
      <alignment horizontal="left" vertical="center" wrapText="1"/>
    </xf>
    <xf numFmtId="0" fontId="72" fillId="0" borderId="8" xfId="0" applyFont="1" applyBorder="1" applyAlignment="1">
      <alignment horizontal="center" vertical="center"/>
    </xf>
    <xf numFmtId="0" fontId="153" fillId="0" borderId="8" xfId="0" applyFont="1" applyBorder="1"/>
    <xf numFmtId="0" fontId="78" fillId="31" borderId="8" xfId="0" applyFont="1" applyFill="1" applyBorder="1" applyAlignment="1">
      <alignment horizontal="center" vertical="center" wrapText="1"/>
    </xf>
    <xf numFmtId="49" fontId="78" fillId="31" borderId="8" xfId="0" applyNumberFormat="1" applyFont="1" applyFill="1" applyBorder="1" applyAlignment="1">
      <alignment horizontal="left" vertical="center" wrapText="1"/>
    </xf>
    <xf numFmtId="0" fontId="0" fillId="0" borderId="8" xfId="0" applyBorder="1"/>
    <xf numFmtId="0" fontId="153" fillId="0" borderId="8" xfId="0" applyFont="1" applyBorder="1" applyAlignment="1">
      <alignment wrapText="1"/>
    </xf>
    <xf numFmtId="0" fontId="0" fillId="0" borderId="8" xfId="0" applyBorder="1" applyAlignment="1">
      <alignment wrapText="1"/>
    </xf>
    <xf numFmtId="0" fontId="78" fillId="31" borderId="8" xfId="0" applyFont="1" applyFill="1" applyBorder="1" applyAlignment="1">
      <alignment horizontal="left" vertical="center" wrapText="1"/>
    </xf>
    <xf numFmtId="0" fontId="78" fillId="31" borderId="8" xfId="0" applyFont="1" applyFill="1" applyBorder="1" applyAlignment="1">
      <alignment horizontal="center" vertical="center"/>
    </xf>
    <xf numFmtId="0" fontId="78" fillId="37" borderId="8" xfId="0" applyFont="1" applyFill="1" applyBorder="1" applyAlignment="1">
      <alignment horizontal="left" vertical="center" wrapText="1"/>
    </xf>
    <xf numFmtId="0" fontId="154" fillId="0" borderId="8" xfId="0" applyFont="1" applyBorder="1" applyAlignment="1">
      <alignment horizontal="center" vertical="center"/>
    </xf>
    <xf numFmtId="0" fontId="154" fillId="0" borderId="8" xfId="0" applyFont="1" applyBorder="1" applyAlignment="1">
      <alignment horizontal="left" vertical="center" wrapText="1"/>
    </xf>
    <xf numFmtId="0" fontId="154" fillId="0" borderId="8" xfId="0" applyFont="1" applyBorder="1" applyAlignment="1">
      <alignment horizontal="center" vertical="center" wrapText="1"/>
    </xf>
    <xf numFmtId="166" fontId="101" fillId="0" borderId="8" xfId="0" applyNumberFormat="1" applyFont="1" applyBorder="1" applyAlignment="1">
      <alignment vertical="center"/>
    </xf>
    <xf numFmtId="0" fontId="155" fillId="0" borderId="8" xfId="0" applyFont="1" applyBorder="1"/>
    <xf numFmtId="0" fontId="155" fillId="0" borderId="0" xfId="0" applyFont="1"/>
    <xf numFmtId="0" fontId="152" fillId="0" borderId="8" xfId="0" applyFont="1" applyBorder="1"/>
    <xf numFmtId="0" fontId="154" fillId="37" borderId="8" xfId="0" applyFont="1" applyFill="1" applyBorder="1" applyAlignment="1">
      <alignment horizontal="left" vertical="center" wrapText="1"/>
    </xf>
    <xf numFmtId="0" fontId="155" fillId="0" borderId="8" xfId="0" applyFont="1" applyBorder="1" applyAlignment="1">
      <alignment wrapText="1"/>
    </xf>
    <xf numFmtId="0" fontId="154" fillId="31" borderId="8" xfId="0" applyFont="1" applyFill="1" applyBorder="1" applyAlignment="1">
      <alignment horizontal="left" vertical="center" wrapText="1"/>
    </xf>
    <xf numFmtId="0" fontId="154" fillId="31" borderId="8" xfId="0" applyFont="1" applyFill="1" applyBorder="1" applyAlignment="1">
      <alignment horizontal="center" vertical="center" wrapText="1"/>
    </xf>
    <xf numFmtId="49" fontId="154" fillId="0" borderId="8" xfId="0" applyNumberFormat="1" applyFont="1" applyBorder="1" applyAlignment="1">
      <alignment horizontal="left" vertical="center" wrapText="1"/>
    </xf>
    <xf numFmtId="0" fontId="154" fillId="31" borderId="8" xfId="0" applyFont="1" applyFill="1" applyBorder="1" applyAlignment="1">
      <alignment horizontal="center" vertical="center"/>
    </xf>
    <xf numFmtId="0" fontId="9" fillId="31" borderId="98" xfId="0" applyFont="1" applyFill="1" applyBorder="1" applyAlignment="1">
      <alignment horizontal="center" vertical="center"/>
    </xf>
    <xf numFmtId="0" fontId="9" fillId="31" borderId="36" xfId="2646" applyFont="1" applyFill="1" applyBorder="1" applyAlignment="1">
      <alignment vertical="center" wrapText="1"/>
    </xf>
    <xf numFmtId="0" fontId="9" fillId="31" borderId="36" xfId="2646" applyFont="1" applyFill="1" applyBorder="1" applyAlignment="1">
      <alignment horizontal="center" vertical="center"/>
    </xf>
    <xf numFmtId="1" fontId="9" fillId="31" borderId="36" xfId="2646" applyNumberFormat="1" applyFont="1" applyFill="1" applyBorder="1" applyAlignment="1">
      <alignment horizontal="center" vertical="center"/>
    </xf>
    <xf numFmtId="0" fontId="9" fillId="31" borderId="36" xfId="0" applyFont="1" applyFill="1" applyBorder="1" applyAlignment="1">
      <alignment horizontal="right" vertical="center"/>
    </xf>
    <xf numFmtId="189" fontId="9" fillId="31" borderId="36" xfId="2338" applyNumberFormat="1" applyFont="1" applyFill="1" applyBorder="1" applyAlignment="1">
      <alignment horizontal="right" vertical="center"/>
    </xf>
    <xf numFmtId="186" fontId="9" fillId="31" borderId="36" xfId="0" applyNumberFormat="1" applyFont="1" applyFill="1" applyBorder="1" applyAlignment="1">
      <alignment horizontal="right" vertical="center"/>
    </xf>
    <xf numFmtId="186" fontId="9" fillId="31" borderId="36" xfId="2338" applyNumberFormat="1" applyFont="1" applyFill="1" applyBorder="1" applyAlignment="1">
      <alignment horizontal="right" vertical="center"/>
    </xf>
    <xf numFmtId="186" fontId="9" fillId="31" borderId="36" xfId="2379" applyNumberFormat="1" applyFont="1" applyFill="1" applyBorder="1" applyAlignment="1">
      <alignment horizontal="right" vertical="center"/>
    </xf>
    <xf numFmtId="186" fontId="9" fillId="31" borderId="99" xfId="0" applyNumberFormat="1" applyFont="1" applyFill="1" applyBorder="1" applyAlignment="1">
      <alignment horizontal="right" vertical="center"/>
    </xf>
    <xf numFmtId="0" fontId="9" fillId="31" borderId="0" xfId="2379" applyFont="1" applyFill="1" applyAlignment="1">
      <alignment vertical="center"/>
    </xf>
    <xf numFmtId="0" fontId="9" fillId="31" borderId="36" xfId="0" applyFont="1" applyFill="1" applyBorder="1" applyAlignment="1">
      <alignment vertical="center" wrapText="1"/>
    </xf>
    <xf numFmtId="0" fontId="9" fillId="31" borderId="36" xfId="0" applyFont="1" applyFill="1" applyBorder="1" applyAlignment="1">
      <alignment horizontal="center" vertical="center"/>
    </xf>
    <xf numFmtId="0" fontId="9" fillId="31" borderId="98" xfId="0" quotePrefix="1" applyFont="1" applyFill="1" applyBorder="1" applyAlignment="1">
      <alignment horizontal="center" vertical="center"/>
    </xf>
    <xf numFmtId="0" fontId="9" fillId="31" borderId="36" xfId="0" applyFont="1" applyFill="1" applyBorder="1" applyAlignment="1">
      <alignment horizontal="left" vertical="center" wrapText="1"/>
    </xf>
    <xf numFmtId="3" fontId="9" fillId="31" borderId="36" xfId="0" applyNumberFormat="1" applyFont="1" applyFill="1" applyBorder="1" applyAlignment="1">
      <alignment horizontal="center" vertical="center"/>
    </xf>
    <xf numFmtId="1" fontId="9" fillId="31" borderId="36" xfId="0" applyNumberFormat="1" applyFont="1" applyFill="1" applyBorder="1" applyAlignment="1">
      <alignment horizontal="center" vertical="center"/>
    </xf>
    <xf numFmtId="0" fontId="101" fillId="0" borderId="0" xfId="2379" applyFont="1" applyAlignment="1">
      <alignment vertical="center"/>
    </xf>
    <xf numFmtId="0" fontId="101" fillId="31" borderId="8" xfId="0" applyFont="1" applyFill="1" applyBorder="1" applyAlignment="1">
      <alignment horizontal="center" vertical="center" wrapText="1"/>
    </xf>
    <xf numFmtId="49" fontId="101" fillId="31" borderId="8" xfId="0" applyNumberFormat="1" applyFont="1" applyFill="1" applyBorder="1" applyAlignment="1">
      <alignment horizontal="left" vertical="center"/>
    </xf>
    <xf numFmtId="1" fontId="101" fillId="31" borderId="8" xfId="0" applyNumberFormat="1" applyFont="1" applyFill="1" applyBorder="1" applyAlignment="1">
      <alignment horizontal="center" vertical="center" wrapText="1"/>
    </xf>
    <xf numFmtId="3" fontId="101" fillId="31" borderId="8" xfId="0" applyNumberFormat="1" applyFont="1" applyFill="1" applyBorder="1" applyAlignment="1">
      <alignment vertical="center" wrapText="1"/>
    </xf>
    <xf numFmtId="3" fontId="101" fillId="31" borderId="8" xfId="0" applyNumberFormat="1" applyFont="1" applyFill="1" applyBorder="1" applyAlignment="1">
      <alignment horizontal="center" vertical="center" wrapText="1"/>
    </xf>
    <xf numFmtId="3" fontId="101" fillId="31" borderId="8" xfId="0" applyNumberFormat="1" applyFont="1" applyFill="1" applyBorder="1" applyAlignment="1">
      <alignment horizontal="right" vertical="center" wrapText="1"/>
    </xf>
    <xf numFmtId="178" fontId="101" fillId="31" borderId="8" xfId="0" applyNumberFormat="1" applyFont="1" applyFill="1" applyBorder="1" applyAlignment="1">
      <alignment horizontal="right" vertical="center" wrapText="1"/>
    </xf>
    <xf numFmtId="0" fontId="101" fillId="31" borderId="0" xfId="0" applyFont="1" applyFill="1"/>
    <xf numFmtId="1" fontId="101" fillId="31" borderId="0" xfId="0" applyNumberFormat="1" applyFont="1" applyFill="1"/>
    <xf numFmtId="0" fontId="101" fillId="31" borderId="8" xfId="2649" applyFont="1" applyFill="1" applyBorder="1" applyAlignment="1">
      <alignment horizontal="right" vertical="center" wrapText="1"/>
    </xf>
    <xf numFmtId="0" fontId="137" fillId="31" borderId="8" xfId="2649" applyFont="1" applyFill="1" applyBorder="1" applyAlignment="1">
      <alignment horizontal="right" vertical="center" wrapText="1"/>
    </xf>
    <xf numFmtId="1" fontId="137" fillId="31" borderId="8" xfId="2649" applyNumberFormat="1" applyFont="1" applyFill="1" applyBorder="1" applyAlignment="1">
      <alignment horizontal="right" vertical="center"/>
    </xf>
    <xf numFmtId="0" fontId="155" fillId="31" borderId="0" xfId="0" applyFont="1" applyFill="1"/>
    <xf numFmtId="0" fontId="12" fillId="31" borderId="8" xfId="0" applyFont="1" applyFill="1" applyBorder="1" applyAlignment="1">
      <alignment horizontal="center" vertical="center"/>
    </xf>
    <xf numFmtId="0" fontId="12" fillId="31" borderId="8" xfId="0" applyFont="1" applyFill="1" applyBorder="1" applyAlignment="1">
      <alignment vertical="center" wrapText="1"/>
    </xf>
    <xf numFmtId="210" fontId="10" fillId="31" borderId="8" xfId="4092" applyNumberFormat="1" applyFont="1" applyFill="1" applyBorder="1" applyAlignment="1">
      <alignment horizontal="center" vertical="center"/>
    </xf>
    <xf numFmtId="3" fontId="10" fillId="31" borderId="8" xfId="4092" applyNumberFormat="1" applyFont="1" applyFill="1" applyBorder="1" applyAlignment="1">
      <alignment horizontal="right" vertical="center"/>
    </xf>
    <xf numFmtId="0" fontId="12" fillId="31" borderId="0" xfId="0" applyFont="1" applyFill="1" applyAlignment="1">
      <alignment vertical="center"/>
    </xf>
    <xf numFmtId="0" fontId="9" fillId="0" borderId="8" xfId="2379" applyFont="1" applyBorder="1" applyAlignment="1">
      <alignment horizontal="right" vertical="center"/>
    </xf>
    <xf numFmtId="166" fontId="101" fillId="30" borderId="8" xfId="0" applyNumberFormat="1" applyFont="1" applyFill="1" applyBorder="1" applyAlignment="1">
      <alignment vertical="center"/>
    </xf>
    <xf numFmtId="166" fontId="9" fillId="30" borderId="8" xfId="0" applyNumberFormat="1" applyFont="1" applyFill="1" applyBorder="1" applyAlignment="1">
      <alignment vertical="center"/>
    </xf>
    <xf numFmtId="166" fontId="101" fillId="36" borderId="8" xfId="0" applyNumberFormat="1" applyFont="1" applyFill="1" applyBorder="1" applyAlignment="1">
      <alignment vertical="center"/>
    </xf>
    <xf numFmtId="166" fontId="9" fillId="36" borderId="8" xfId="0" applyNumberFormat="1" applyFont="1" applyFill="1" applyBorder="1" applyAlignment="1">
      <alignment vertical="center"/>
    </xf>
    <xf numFmtId="186" fontId="9" fillId="36" borderId="81" xfId="2340" applyNumberFormat="1" applyFont="1" applyFill="1" applyBorder="1" applyAlignment="1">
      <alignment horizontal="right" vertical="center"/>
    </xf>
    <xf numFmtId="0" fontId="10" fillId="30" borderId="8" xfId="2649" applyFont="1" applyFill="1" applyBorder="1" applyAlignment="1">
      <alignment horizontal="center" textRotation="90" wrapText="1"/>
    </xf>
    <xf numFmtId="0" fontId="9" fillId="30" borderId="8" xfId="2649" applyFont="1" applyFill="1" applyBorder="1" applyAlignment="1">
      <alignment horizontal="right" vertical="center" wrapText="1"/>
    </xf>
    <xf numFmtId="0" fontId="10" fillId="30" borderId="8" xfId="2649" applyFont="1" applyFill="1" applyBorder="1" applyAlignment="1">
      <alignment horizontal="right" vertical="center" wrapText="1"/>
    </xf>
    <xf numFmtId="0" fontId="9" fillId="30" borderId="8" xfId="2649" applyFont="1" applyFill="1" applyBorder="1" applyAlignment="1">
      <alignment horizontal="center" vertical="center" wrapText="1"/>
    </xf>
    <xf numFmtId="0" fontId="13" fillId="30" borderId="8" xfId="0" applyFont="1" applyFill="1" applyBorder="1" applyAlignment="1">
      <alignment vertical="center"/>
    </xf>
    <xf numFmtId="0" fontId="101" fillId="30" borderId="8" xfId="2649" applyFont="1" applyFill="1" applyBorder="1" applyAlignment="1">
      <alignment horizontal="right" vertical="center" wrapText="1"/>
    </xf>
    <xf numFmtId="0" fontId="10" fillId="38" borderId="8" xfId="2649" applyFont="1" applyFill="1" applyBorder="1" applyAlignment="1">
      <alignment horizontal="right" vertical="center" wrapText="1"/>
    </xf>
    <xf numFmtId="0" fontId="13" fillId="30" borderId="8" xfId="0" applyFont="1" applyFill="1" applyBorder="1"/>
    <xf numFmtId="0" fontId="9" fillId="30" borderId="0" xfId="2649" applyFont="1" applyFill="1" applyAlignment="1">
      <alignment horizontal="right" vertical="center" wrapText="1"/>
    </xf>
    <xf numFmtId="1" fontId="6" fillId="30" borderId="0" xfId="0" applyNumberFormat="1" applyFont="1" applyFill="1"/>
    <xf numFmtId="0" fontId="9" fillId="39" borderId="8" xfId="2649" applyFont="1" applyFill="1" applyBorder="1" applyAlignment="1">
      <alignment horizontal="center" vertical="center" wrapText="1"/>
    </xf>
    <xf numFmtId="0" fontId="13" fillId="39" borderId="8" xfId="0" applyFont="1" applyFill="1" applyBorder="1"/>
    <xf numFmtId="0" fontId="9" fillId="39" borderId="8" xfId="2649" applyFont="1" applyFill="1" applyBorder="1" applyAlignment="1">
      <alignment horizontal="right" vertical="center" wrapText="1"/>
    </xf>
    <xf numFmtId="0" fontId="101" fillId="39" borderId="8" xfId="2649" applyFont="1" applyFill="1" applyBorder="1" applyAlignment="1">
      <alignment horizontal="right" vertical="center" wrapText="1"/>
    </xf>
    <xf numFmtId="0" fontId="6" fillId="39" borderId="0" xfId="0" applyFont="1" applyFill="1"/>
    <xf numFmtId="0" fontId="9" fillId="39" borderId="0" xfId="2649" applyFont="1" applyFill="1" applyAlignment="1">
      <alignment horizontal="right" vertical="center" wrapText="1"/>
    </xf>
    <xf numFmtId="0" fontId="9" fillId="40" borderId="8" xfId="2649" applyFont="1" applyFill="1" applyBorder="1" applyAlignment="1">
      <alignment horizontal="center" vertical="center" wrapText="1"/>
    </xf>
    <xf numFmtId="0" fontId="13" fillId="40" borderId="8" xfId="0" applyFont="1" applyFill="1" applyBorder="1"/>
    <xf numFmtId="0" fontId="9" fillId="40" borderId="8" xfId="2649" applyFont="1" applyFill="1" applyBorder="1" applyAlignment="1">
      <alignment horizontal="right" vertical="center" wrapText="1"/>
    </xf>
    <xf numFmtId="0" fontId="101" fillId="40" borderId="8" xfId="2649" applyFont="1" applyFill="1" applyBorder="1" applyAlignment="1">
      <alignment horizontal="right" vertical="center" wrapText="1"/>
    </xf>
    <xf numFmtId="0" fontId="6" fillId="40" borderId="0" xfId="0" applyFont="1" applyFill="1"/>
    <xf numFmtId="0" fontId="9" fillId="40" borderId="0" xfId="2649" applyFont="1" applyFill="1" applyAlignment="1">
      <alignment horizontal="right" vertical="center" wrapText="1"/>
    </xf>
    <xf numFmtId="0" fontId="101" fillId="30" borderId="0" xfId="2379" applyFont="1" applyFill="1" applyAlignment="1">
      <alignment vertical="center"/>
    </xf>
    <xf numFmtId="0" fontId="9" fillId="30" borderId="0" xfId="2379" applyFont="1" applyFill="1" applyAlignment="1">
      <alignment vertical="center"/>
    </xf>
    <xf numFmtId="0" fontId="7" fillId="22" borderId="0" xfId="0" applyFont="1" applyFill="1" applyAlignment="1">
      <alignment horizontal="center" vertical="center"/>
    </xf>
    <xf numFmtId="0" fontId="10" fillId="22" borderId="0" xfId="0" applyFont="1" applyFill="1" applyAlignment="1">
      <alignment horizontal="center" vertical="center"/>
    </xf>
    <xf numFmtId="0" fontId="8" fillId="22" borderId="0" xfId="0" applyFont="1" applyFill="1" applyAlignment="1">
      <alignment horizontal="center" vertical="center"/>
    </xf>
    <xf numFmtId="186" fontId="157" fillId="0" borderId="36" xfId="2338" applyNumberFormat="1" applyFont="1" applyFill="1" applyBorder="1" applyAlignment="1">
      <alignment horizontal="right" vertical="center"/>
    </xf>
    <xf numFmtId="186" fontId="157" fillId="0" borderId="36" xfId="0" applyNumberFormat="1" applyFont="1" applyBorder="1" applyAlignment="1">
      <alignment horizontal="right" vertical="center"/>
    </xf>
    <xf numFmtId="186" fontId="157" fillId="0" borderId="99" xfId="0" applyNumberFormat="1" applyFont="1" applyBorder="1" applyAlignment="1">
      <alignment horizontal="right" vertical="center"/>
    </xf>
    <xf numFmtId="0" fontId="157" fillId="0" borderId="0" xfId="2379" applyFont="1" applyAlignment="1">
      <alignment vertical="center"/>
    </xf>
    <xf numFmtId="186" fontId="157" fillId="0" borderId="36" xfId="0" applyNumberFormat="1" applyFont="1" applyBorder="1" applyAlignment="1">
      <alignment horizontal="center" vertical="center"/>
    </xf>
    <xf numFmtId="3" fontId="77" fillId="34" borderId="8" xfId="2341" applyNumberFormat="1" applyFont="1" applyFill="1" applyBorder="1" applyAlignment="1">
      <alignment horizontal="right" vertical="center" wrapText="1"/>
    </xf>
    <xf numFmtId="186" fontId="9" fillId="30" borderId="36" xfId="0" applyNumberFormat="1" applyFont="1" applyFill="1" applyBorder="1" applyAlignment="1">
      <alignment horizontal="center" vertical="center"/>
    </xf>
    <xf numFmtId="186" fontId="9" fillId="30" borderId="0" xfId="0" applyNumberFormat="1" applyFont="1" applyFill="1" applyAlignment="1">
      <alignment horizontal="center" vertical="center"/>
    </xf>
    <xf numFmtId="0" fontId="137" fillId="22" borderId="0" xfId="0" applyFont="1" applyFill="1" applyAlignment="1">
      <alignment vertical="center"/>
    </xf>
    <xf numFmtId="0" fontId="137" fillId="0" borderId="8" xfId="0" applyFont="1" applyBorder="1" applyAlignment="1">
      <alignment vertical="center" wrapText="1"/>
    </xf>
    <xf numFmtId="0" fontId="137" fillId="0" borderId="8" xfId="0" applyFont="1" applyBorder="1" applyAlignment="1">
      <alignment horizontal="center" vertical="center" wrapText="1"/>
    </xf>
    <xf numFmtId="3" fontId="137" fillId="0" borderId="8" xfId="0" applyNumberFormat="1" applyFont="1" applyBorder="1" applyAlignment="1">
      <alignment horizontal="center" vertical="center" wrapText="1"/>
    </xf>
    <xf numFmtId="186" fontId="137" fillId="0" borderId="8" xfId="2338" applyNumberFormat="1" applyFont="1" applyFill="1" applyBorder="1" applyAlignment="1">
      <alignment horizontal="right" vertical="center" wrapText="1"/>
    </xf>
    <xf numFmtId="0" fontId="137" fillId="0" borderId="0" xfId="0" applyFont="1" applyAlignment="1">
      <alignment vertical="center"/>
    </xf>
    <xf numFmtId="49" fontId="10" fillId="30" borderId="8" xfId="2645" applyNumberFormat="1" applyFont="1" applyFill="1" applyBorder="1" applyAlignment="1">
      <alignment horizontal="center" vertical="center"/>
    </xf>
    <xf numFmtId="0" fontId="10" fillId="30" borderId="8" xfId="2645" applyFont="1" applyFill="1" applyBorder="1" applyAlignment="1">
      <alignment vertical="center" wrapText="1"/>
    </xf>
    <xf numFmtId="0" fontId="9" fillId="30" borderId="8" xfId="0" applyFont="1" applyFill="1" applyBorder="1" applyAlignment="1">
      <alignment horizontal="center" vertical="center"/>
    </xf>
    <xf numFmtId="0" fontId="9" fillId="30" borderId="8" xfId="0" applyFont="1" applyFill="1" applyBorder="1" applyAlignment="1">
      <alignment horizontal="right" vertical="center"/>
    </xf>
    <xf numFmtId="186" fontId="9" fillId="30" borderId="8" xfId="2338" applyNumberFormat="1" applyFont="1" applyFill="1" applyBorder="1" applyAlignment="1">
      <alignment horizontal="right" vertical="center"/>
    </xf>
    <xf numFmtId="189" fontId="9" fillId="30" borderId="8" xfId="2338" applyNumberFormat="1" applyFont="1" applyFill="1" applyBorder="1" applyAlignment="1">
      <alignment horizontal="right" vertical="center"/>
    </xf>
    <xf numFmtId="186" fontId="10" fillId="30" borderId="8" xfId="2338" applyNumberFormat="1" applyFont="1" applyFill="1" applyBorder="1" applyAlignment="1">
      <alignment horizontal="right" vertical="center"/>
    </xf>
    <xf numFmtId="186" fontId="10" fillId="30" borderId="8" xfId="0" applyNumberFormat="1" applyFont="1" applyFill="1" applyBorder="1" applyAlignment="1">
      <alignment horizontal="right" vertical="center"/>
    </xf>
    <xf numFmtId="49" fontId="157" fillId="0" borderId="8" xfId="2645" applyNumberFormat="1" applyFont="1" applyBorder="1" applyAlignment="1">
      <alignment horizontal="center" vertical="center"/>
    </xf>
    <xf numFmtId="0" fontId="157" fillId="0" borderId="8" xfId="2645" applyFont="1" applyBorder="1" applyAlignment="1">
      <alignment vertical="center" wrapText="1"/>
    </xf>
    <xf numFmtId="0" fontId="157" fillId="0" borderId="8" xfId="0" applyFont="1" applyBorder="1" applyAlignment="1">
      <alignment horizontal="center" vertical="center"/>
    </xf>
    <xf numFmtId="0" fontId="157" fillId="0" borderId="8" xfId="0" applyFont="1" applyBorder="1" applyAlignment="1">
      <alignment horizontal="right" vertical="center"/>
    </xf>
    <xf numFmtId="186" fontId="157" fillId="0" borderId="8" xfId="2338" applyNumberFormat="1" applyFont="1" applyFill="1" applyBorder="1" applyAlignment="1">
      <alignment horizontal="right" vertical="center"/>
    </xf>
    <xf numFmtId="189" fontId="157" fillId="0" borderId="8" xfId="2338" applyNumberFormat="1" applyFont="1" applyFill="1" applyBorder="1" applyAlignment="1">
      <alignment horizontal="right" vertical="center"/>
    </xf>
    <xf numFmtId="186" fontId="157" fillId="0" borderId="8" xfId="0" applyNumberFormat="1" applyFont="1" applyBorder="1" applyAlignment="1">
      <alignment horizontal="right" vertical="center"/>
    </xf>
    <xf numFmtId="186" fontId="157" fillId="36" borderId="8" xfId="2338" applyNumberFormat="1" applyFont="1" applyFill="1" applyBorder="1" applyAlignment="1">
      <alignment horizontal="right" vertical="center"/>
    </xf>
    <xf numFmtId="49" fontId="9" fillId="0" borderId="8" xfId="2645" applyNumberFormat="1" applyFont="1" applyBorder="1" applyAlignment="1">
      <alignment horizontal="center" vertical="center"/>
    </xf>
    <xf numFmtId="0" fontId="9" fillId="0" borderId="8" xfId="2645" applyFont="1" applyBorder="1" applyAlignment="1">
      <alignment vertical="center" wrapText="1"/>
    </xf>
    <xf numFmtId="2" fontId="9" fillId="0" borderId="8" xfId="0" applyNumberFormat="1" applyFont="1" applyBorder="1" applyAlignment="1">
      <alignment horizontal="center" vertical="center"/>
    </xf>
    <xf numFmtId="0" fontId="9" fillId="0" borderId="8" xfId="0" applyFont="1" applyBorder="1" applyAlignment="1">
      <alignment horizontal="right" vertical="center"/>
    </xf>
    <xf numFmtId="186" fontId="9" fillId="36" borderId="8" xfId="2338" applyNumberFormat="1" applyFont="1" applyFill="1" applyBorder="1" applyAlignment="1">
      <alignment horizontal="right" vertical="center"/>
    </xf>
    <xf numFmtId="189" fontId="9" fillId="0" borderId="8" xfId="2338" applyNumberFormat="1" applyFont="1" applyFill="1" applyBorder="1" applyAlignment="1">
      <alignment horizontal="right" vertical="center"/>
    </xf>
    <xf numFmtId="251" fontId="9" fillId="0" borderId="8" xfId="0" applyNumberFormat="1" applyFont="1" applyBorder="1" applyAlignment="1">
      <alignment horizontal="center" vertical="center"/>
    </xf>
    <xf numFmtId="49" fontId="10" fillId="0" borderId="8" xfId="2645" applyNumberFormat="1" applyFont="1" applyBorder="1" applyAlignment="1">
      <alignment horizontal="center" vertical="center"/>
    </xf>
    <xf numFmtId="0" fontId="10" fillId="0" borderId="8" xfId="2645" applyFont="1" applyBorder="1" applyAlignment="1">
      <alignment vertical="center" wrapText="1"/>
    </xf>
    <xf numFmtId="1" fontId="10" fillId="0" borderId="8" xfId="0" applyNumberFormat="1" applyFont="1" applyBorder="1" applyAlignment="1">
      <alignment horizontal="center" vertical="center"/>
    </xf>
    <xf numFmtId="186" fontId="158" fillId="0" borderId="8" xfId="2338" applyNumberFormat="1" applyFont="1" applyFill="1" applyBorder="1" applyAlignment="1">
      <alignment horizontal="right" vertical="center"/>
    </xf>
    <xf numFmtId="0" fontId="137" fillId="0" borderId="8" xfId="0" applyFont="1" applyBorder="1" applyAlignment="1">
      <alignment horizontal="center" vertical="center"/>
    </xf>
    <xf numFmtId="3" fontId="137" fillId="0" borderId="8" xfId="0" applyNumberFormat="1" applyFont="1" applyBorder="1" applyAlignment="1">
      <alignment horizontal="center" vertical="center"/>
    </xf>
    <xf numFmtId="0" fontId="101" fillId="0" borderId="8" xfId="0" applyFont="1" applyBorder="1" applyAlignment="1">
      <alignment horizontal="right" vertical="center"/>
    </xf>
    <xf numFmtId="186" fontId="101" fillId="0" borderId="8" xfId="2338" applyNumberFormat="1" applyFont="1" applyFill="1" applyBorder="1" applyAlignment="1">
      <alignment horizontal="right" vertical="center"/>
    </xf>
    <xf numFmtId="186" fontId="137" fillId="0" borderId="8" xfId="0" applyNumberFormat="1" applyFont="1" applyBorder="1" applyAlignment="1">
      <alignment horizontal="right" vertical="center"/>
    </xf>
    <xf numFmtId="3" fontId="9" fillId="0" borderId="8" xfId="0" applyNumberFormat="1" applyFont="1" applyBorder="1" applyAlignment="1">
      <alignment horizontal="right" vertical="center"/>
    </xf>
    <xf numFmtId="3" fontId="9" fillId="0" borderId="8" xfId="0" applyNumberFormat="1" applyFont="1" applyBorder="1" applyAlignment="1">
      <alignment horizontal="center" vertical="center"/>
    </xf>
    <xf numFmtId="3" fontId="9" fillId="0" borderId="8" xfId="2379" applyNumberFormat="1" applyFont="1" applyBorder="1" applyAlignment="1">
      <alignment horizontal="right" vertical="center"/>
    </xf>
    <xf numFmtId="1" fontId="9" fillId="0" borderId="8" xfId="0" applyNumberFormat="1" applyFont="1" applyBorder="1" applyAlignment="1">
      <alignment vertical="center" wrapText="1"/>
    </xf>
    <xf numFmtId="3" fontId="9" fillId="0" borderId="8" xfId="2645" applyNumberFormat="1" applyFont="1" applyBorder="1" applyAlignment="1">
      <alignment horizontal="center" vertical="center"/>
    </xf>
    <xf numFmtId="0" fontId="10" fillId="0" borderId="8" xfId="0" applyFont="1" applyBorder="1" applyAlignment="1">
      <alignment horizontal="right" vertical="center"/>
    </xf>
    <xf numFmtId="3" fontId="10" fillId="0" borderId="8" xfId="2379" applyNumberFormat="1" applyFont="1" applyBorder="1" applyAlignment="1">
      <alignment horizontal="right" vertical="center"/>
    </xf>
    <xf numFmtId="0" fontId="9" fillId="36" borderId="8" xfId="0" applyFont="1" applyFill="1" applyBorder="1" applyAlignment="1">
      <alignment horizontal="center" vertical="center"/>
    </xf>
    <xf numFmtId="0" fontId="9" fillId="36" borderId="8" xfId="0" applyFont="1" applyFill="1" applyBorder="1" applyAlignment="1">
      <alignment vertical="center" wrapText="1"/>
    </xf>
    <xf numFmtId="3" fontId="9" fillId="36" borderId="8" xfId="0" applyNumberFormat="1" applyFont="1" applyFill="1" applyBorder="1" applyAlignment="1">
      <alignment horizontal="center" vertical="center"/>
    </xf>
    <xf numFmtId="0" fontId="9" fillId="36" borderId="8" xfId="0" applyFont="1" applyFill="1" applyBorder="1" applyAlignment="1">
      <alignment horizontal="right" vertical="center"/>
    </xf>
    <xf numFmtId="186" fontId="9" fillId="36" borderId="8" xfId="0" applyNumberFormat="1" applyFont="1" applyFill="1" applyBorder="1" applyAlignment="1">
      <alignment horizontal="right" vertical="center"/>
    </xf>
    <xf numFmtId="186" fontId="9" fillId="0" borderId="8" xfId="0" applyNumberFormat="1" applyFont="1" applyBorder="1" applyAlignment="1">
      <alignment horizontal="right" vertical="center"/>
    </xf>
    <xf numFmtId="0" fontId="9" fillId="30" borderId="8" xfId="0" applyFont="1" applyFill="1" applyBorder="1" applyAlignment="1">
      <alignment vertical="center" wrapText="1"/>
    </xf>
    <xf numFmtId="3" fontId="9" fillId="30" borderId="8" xfId="0" applyNumberFormat="1" applyFont="1" applyFill="1" applyBorder="1" applyAlignment="1">
      <alignment horizontal="center" vertical="center"/>
    </xf>
    <xf numFmtId="186" fontId="9" fillId="30" borderId="8" xfId="0" applyNumberFormat="1" applyFont="1" applyFill="1" applyBorder="1" applyAlignment="1">
      <alignment horizontal="right" vertical="center"/>
    </xf>
    <xf numFmtId="0" fontId="10" fillId="0" borderId="8" xfId="2377" applyFont="1" applyBorder="1" applyAlignment="1">
      <alignment horizontal="left" vertical="center" wrapText="1"/>
    </xf>
    <xf numFmtId="0" fontId="10" fillId="0" borderId="8" xfId="2378" applyFont="1" applyBorder="1" applyAlignment="1">
      <alignment horizontal="center" vertical="center"/>
    </xf>
    <xf numFmtId="186" fontId="10" fillId="0" borderId="8" xfId="0" applyNumberFormat="1" applyFont="1" applyBorder="1" applyAlignment="1">
      <alignment horizontal="right" vertical="center"/>
    </xf>
    <xf numFmtId="186" fontId="10" fillId="0" borderId="8" xfId="2338" applyNumberFormat="1" applyFont="1" applyFill="1" applyBorder="1" applyAlignment="1">
      <alignment horizontal="right" vertical="center"/>
    </xf>
    <xf numFmtId="189" fontId="10" fillId="0" borderId="8" xfId="2338" applyNumberFormat="1" applyFont="1" applyFill="1" applyBorder="1" applyAlignment="1">
      <alignment horizontal="right" vertical="center"/>
    </xf>
    <xf numFmtId="49" fontId="9" fillId="30" borderId="8" xfId="0" applyNumberFormat="1" applyFont="1" applyFill="1" applyBorder="1" applyAlignment="1">
      <alignment horizontal="center" vertical="center"/>
    </xf>
    <xf numFmtId="0" fontId="9" fillId="30" borderId="8" xfId="0" applyFont="1" applyFill="1" applyBorder="1" applyAlignment="1">
      <alignment horizontal="left" vertical="center" wrapText="1"/>
    </xf>
    <xf numFmtId="0" fontId="9" fillId="30" borderId="8" xfId="2378" applyFont="1" applyFill="1" applyBorder="1" applyAlignment="1">
      <alignment horizontal="center" vertical="center"/>
    </xf>
    <xf numFmtId="1" fontId="9" fillId="30" borderId="8" xfId="0" applyNumberFormat="1" applyFont="1" applyFill="1" applyBorder="1" applyAlignment="1">
      <alignment horizontal="center" vertical="center"/>
    </xf>
    <xf numFmtId="3" fontId="9" fillId="30" borderId="8" xfId="2379" applyNumberFormat="1" applyFont="1" applyFill="1" applyBorder="1" applyAlignment="1">
      <alignment horizontal="right" vertical="center"/>
    </xf>
    <xf numFmtId="49" fontId="101" fillId="0" borderId="8" xfId="0" applyNumberFormat="1" applyFont="1" applyBorder="1" applyAlignment="1">
      <alignment horizontal="center" vertical="center"/>
    </xf>
    <xf numFmtId="0" fontId="101" fillId="0" borderId="8" xfId="0" applyFont="1" applyBorder="1" applyAlignment="1">
      <alignment horizontal="left" vertical="center" wrapText="1"/>
    </xf>
    <xf numFmtId="0" fontId="101" fillId="0" borderId="8" xfId="2378" applyFont="1" applyBorder="1" applyAlignment="1">
      <alignment horizontal="center" vertical="center"/>
    </xf>
    <xf numFmtId="1" fontId="101" fillId="0" borderId="8" xfId="0" applyNumberFormat="1" applyFont="1" applyBorder="1" applyAlignment="1">
      <alignment horizontal="center" vertical="center"/>
    </xf>
    <xf numFmtId="186" fontId="101" fillId="0" borderId="8" xfId="0" applyNumberFormat="1" applyFont="1" applyBorder="1" applyAlignment="1">
      <alignment horizontal="right" vertical="center"/>
    </xf>
    <xf numFmtId="189" fontId="101" fillId="0" borderId="8" xfId="2338" applyNumberFormat="1" applyFont="1" applyFill="1" applyBorder="1" applyAlignment="1">
      <alignment horizontal="right" vertical="center"/>
    </xf>
    <xf numFmtId="3" fontId="101" fillId="0" borderId="8" xfId="2379" applyNumberFormat="1" applyFont="1" applyBorder="1" applyAlignment="1">
      <alignment horizontal="right" vertical="center"/>
    </xf>
    <xf numFmtId="49" fontId="101" fillId="30" borderId="8" xfId="0" applyNumberFormat="1" applyFont="1" applyFill="1" applyBorder="1" applyAlignment="1">
      <alignment horizontal="center" vertical="center"/>
    </xf>
    <xf numFmtId="0" fontId="101" fillId="30" borderId="8" xfId="0" applyFont="1" applyFill="1" applyBorder="1" applyAlignment="1">
      <alignment horizontal="left" vertical="center" wrapText="1"/>
    </xf>
    <xf numFmtId="0" fontId="101" fillId="30" borderId="8" xfId="2378" applyFont="1" applyFill="1" applyBorder="1" applyAlignment="1">
      <alignment horizontal="center" vertical="center"/>
    </xf>
    <xf numFmtId="1" fontId="101" fillId="30" borderId="8" xfId="0" applyNumberFormat="1" applyFont="1" applyFill="1" applyBorder="1" applyAlignment="1">
      <alignment horizontal="center" vertical="center"/>
    </xf>
    <xf numFmtId="186" fontId="101" fillId="30" borderId="8" xfId="0" applyNumberFormat="1" applyFont="1" applyFill="1" applyBorder="1" applyAlignment="1">
      <alignment horizontal="right" vertical="center"/>
    </xf>
    <xf numFmtId="186" fontId="101" fillId="30" borderId="8" xfId="2338" applyNumberFormat="1" applyFont="1" applyFill="1" applyBorder="1" applyAlignment="1">
      <alignment horizontal="right" vertical="center"/>
    </xf>
    <xf numFmtId="189" fontId="101" fillId="30" borderId="8" xfId="2338" applyNumberFormat="1" applyFont="1" applyFill="1" applyBorder="1" applyAlignment="1">
      <alignment horizontal="right" vertical="center"/>
    </xf>
    <xf numFmtId="3" fontId="101" fillId="30" borderId="8" xfId="2379" applyNumberFormat="1" applyFont="1" applyFill="1" applyBorder="1" applyAlignment="1">
      <alignment horizontal="right" vertical="center"/>
    </xf>
    <xf numFmtId="0" fontId="9" fillId="0" borderId="8" xfId="0" applyFont="1" applyBorder="1" applyAlignment="1">
      <alignment horizontal="left" vertical="center" wrapText="1"/>
    </xf>
    <xf numFmtId="0" fontId="9" fillId="0" borderId="8" xfId="2378" applyFont="1" applyBorder="1" applyAlignment="1">
      <alignment horizontal="center" vertical="center"/>
    </xf>
    <xf numFmtId="1" fontId="9" fillId="0" borderId="8" xfId="0" applyNumberFormat="1" applyFont="1" applyBorder="1" applyAlignment="1">
      <alignment horizontal="center" vertical="center"/>
    </xf>
    <xf numFmtId="240" fontId="10" fillId="0" borderId="8" xfId="11" applyNumberFormat="1" applyFont="1" applyBorder="1" applyAlignment="1">
      <alignment horizontal="center" vertical="center"/>
    </xf>
    <xf numFmtId="3" fontId="10" fillId="0" borderId="8" xfId="0" applyNumberFormat="1" applyFont="1" applyBorder="1" applyAlignment="1">
      <alignment horizontal="right" vertical="center"/>
    </xf>
    <xf numFmtId="243" fontId="10" fillId="0" borderId="8" xfId="0" quotePrefix="1" applyNumberFormat="1" applyFont="1" applyBorder="1" applyAlignment="1">
      <alignment vertical="center"/>
    </xf>
    <xf numFmtId="243" fontId="10" fillId="0" borderId="8" xfId="0" quotePrefix="1" applyNumberFormat="1" applyFont="1" applyBorder="1" applyAlignment="1">
      <alignment vertical="center" wrapText="1"/>
    </xf>
    <xf numFmtId="0" fontId="9" fillId="31" borderId="8" xfId="0" applyFont="1" applyFill="1" applyBorder="1" applyAlignment="1">
      <alignment vertical="center" wrapText="1"/>
    </xf>
    <xf numFmtId="0" fontId="10" fillId="31" borderId="8" xfId="2645" applyFont="1" applyFill="1" applyBorder="1" applyAlignment="1">
      <alignment vertical="center" wrapText="1"/>
    </xf>
    <xf numFmtId="0" fontId="137" fillId="0" borderId="8" xfId="2645" applyFont="1" applyBorder="1" applyAlignment="1">
      <alignment vertical="center" wrapText="1"/>
    </xf>
    <xf numFmtId="1" fontId="137" fillId="0" borderId="8" xfId="0" applyNumberFormat="1" applyFont="1" applyBorder="1" applyAlignment="1">
      <alignment horizontal="center" vertical="center"/>
    </xf>
    <xf numFmtId="49" fontId="137" fillId="0" borderId="8" xfId="2645" applyNumberFormat="1" applyFont="1" applyBorder="1" applyAlignment="1">
      <alignment horizontal="center" vertical="center"/>
    </xf>
    <xf numFmtId="49" fontId="137" fillId="0" borderId="8" xfId="4094" applyNumberFormat="1" applyFont="1" applyBorder="1" applyAlignment="1">
      <alignment horizontal="center" vertical="center"/>
    </xf>
    <xf numFmtId="0" fontId="137" fillId="0" borderId="8" xfId="4094" applyFont="1" applyBorder="1" applyAlignment="1">
      <alignment vertical="center" wrapText="1"/>
    </xf>
    <xf numFmtId="0" fontId="137" fillId="0" borderId="8" xfId="4094" applyFont="1" applyBorder="1" applyAlignment="1">
      <alignment horizontal="center" vertical="center"/>
    </xf>
    <xf numFmtId="3" fontId="137" fillId="0" borderId="8" xfId="4094" applyNumberFormat="1" applyFont="1" applyBorder="1" applyAlignment="1">
      <alignment horizontal="center" vertical="center"/>
    </xf>
    <xf numFmtId="3" fontId="101" fillId="0" borderId="8" xfId="4094" applyNumberFormat="1" applyFont="1" applyBorder="1" applyAlignment="1">
      <alignment horizontal="right" vertical="center"/>
    </xf>
    <xf numFmtId="3" fontId="101" fillId="0" borderId="8" xfId="0" applyNumberFormat="1" applyFont="1" applyBorder="1" applyAlignment="1">
      <alignment horizontal="right" vertical="center"/>
    </xf>
    <xf numFmtId="0" fontId="9" fillId="30" borderId="0" xfId="0" applyFont="1" applyFill="1" applyAlignment="1">
      <alignment vertical="center"/>
    </xf>
    <xf numFmtId="0" fontId="10" fillId="30" borderId="8" xfId="0" applyFont="1" applyFill="1" applyBorder="1" applyAlignment="1">
      <alignment horizontal="center" vertical="center" wrapText="1"/>
    </xf>
    <xf numFmtId="0" fontId="10" fillId="30" borderId="8" xfId="0" applyFont="1" applyFill="1" applyBorder="1" applyAlignment="1">
      <alignment vertical="center"/>
    </xf>
    <xf numFmtId="0" fontId="10" fillId="30" borderId="8" xfId="0" applyFont="1" applyFill="1" applyBorder="1" applyAlignment="1">
      <alignment horizontal="center" vertical="center"/>
    </xf>
    <xf numFmtId="49" fontId="157" fillId="30" borderId="8" xfId="2645" applyNumberFormat="1" applyFont="1" applyFill="1" applyBorder="1" applyAlignment="1">
      <alignment horizontal="center" vertical="center"/>
    </xf>
    <xf numFmtId="49" fontId="9" fillId="30" borderId="8" xfId="2645" applyNumberFormat="1" applyFont="1" applyFill="1" applyBorder="1" applyAlignment="1">
      <alignment horizontal="center" vertical="center"/>
    </xf>
    <xf numFmtId="49" fontId="137" fillId="30" borderId="8" xfId="2645" applyNumberFormat="1" applyFont="1" applyFill="1" applyBorder="1" applyAlignment="1">
      <alignment horizontal="center" vertical="center"/>
    </xf>
    <xf numFmtId="0" fontId="137" fillId="30" borderId="8" xfId="0" applyFont="1" applyFill="1" applyBorder="1" applyAlignment="1">
      <alignment horizontal="center" vertical="center"/>
    </xf>
    <xf numFmtId="49" fontId="137" fillId="30" borderId="8" xfId="4094" applyNumberFormat="1" applyFont="1" applyFill="1" applyBorder="1" applyAlignment="1">
      <alignment horizontal="center" vertical="center"/>
    </xf>
    <xf numFmtId="243" fontId="10" fillId="30" borderId="8" xfId="0" quotePrefix="1" applyNumberFormat="1" applyFont="1" applyFill="1" applyBorder="1" applyAlignment="1">
      <alignment vertical="center"/>
    </xf>
    <xf numFmtId="0" fontId="10" fillId="30" borderId="8" xfId="0" applyFont="1" applyFill="1" applyBorder="1" applyAlignment="1">
      <alignment vertical="center" wrapText="1"/>
    </xf>
    <xf numFmtId="0" fontId="157" fillId="30" borderId="8" xfId="2645" applyFont="1" applyFill="1" applyBorder="1" applyAlignment="1">
      <alignment vertical="center" wrapText="1"/>
    </xf>
    <xf numFmtId="0" fontId="9" fillId="30" borderId="8" xfId="2645" applyFont="1" applyFill="1" applyBorder="1" applyAlignment="1">
      <alignment vertical="center" wrapText="1"/>
    </xf>
    <xf numFmtId="0" fontId="137" fillId="30" borderId="8" xfId="2645" applyFont="1" applyFill="1" applyBorder="1" applyAlignment="1">
      <alignment vertical="center" wrapText="1"/>
    </xf>
    <xf numFmtId="0" fontId="137" fillId="30" borderId="8" xfId="0" applyFont="1" applyFill="1" applyBorder="1" applyAlignment="1">
      <alignment vertical="center" wrapText="1"/>
    </xf>
    <xf numFmtId="0" fontId="137" fillId="30" borderId="8" xfId="4094" applyFont="1" applyFill="1" applyBorder="1" applyAlignment="1">
      <alignment vertical="center" wrapText="1"/>
    </xf>
    <xf numFmtId="1" fontId="9" fillId="30" borderId="8" xfId="0" applyNumberFormat="1" applyFont="1" applyFill="1" applyBorder="1" applyAlignment="1">
      <alignment vertical="center" wrapText="1"/>
    </xf>
    <xf numFmtId="0" fontId="10" fillId="30" borderId="8" xfId="2377" applyFont="1" applyFill="1" applyBorder="1" applyAlignment="1">
      <alignment horizontal="left" vertical="center" wrapText="1"/>
    </xf>
    <xf numFmtId="243" fontId="10" fillId="30" borderId="8" xfId="0" quotePrefix="1" applyNumberFormat="1" applyFont="1" applyFill="1" applyBorder="1" applyAlignment="1">
      <alignment vertical="center" wrapText="1"/>
    </xf>
    <xf numFmtId="186" fontId="10" fillId="0" borderId="8" xfId="2338" applyNumberFormat="1" applyFont="1" applyFill="1" applyBorder="1" applyAlignment="1">
      <alignment horizontal="center" vertical="center"/>
    </xf>
    <xf numFmtId="186" fontId="9" fillId="0" borderId="8" xfId="2338" applyNumberFormat="1" applyFont="1" applyFill="1" applyBorder="1" applyAlignment="1">
      <alignment vertical="center"/>
    </xf>
    <xf numFmtId="49" fontId="9" fillId="0" borderId="8" xfId="2645" applyNumberFormat="1" applyFont="1" applyBorder="1" applyAlignment="1">
      <alignment vertical="center"/>
    </xf>
    <xf numFmtId="49" fontId="9" fillId="30" borderId="8" xfId="2645" applyNumberFormat="1" applyFont="1" applyFill="1" applyBorder="1" applyAlignment="1">
      <alignment vertical="center"/>
    </xf>
    <xf numFmtId="0" fontId="101" fillId="0" borderId="8" xfId="0" applyFont="1" applyBorder="1" applyAlignment="1">
      <alignment vertical="center"/>
    </xf>
    <xf numFmtId="0" fontId="101" fillId="30" borderId="8" xfId="0" applyFont="1" applyFill="1" applyBorder="1" applyAlignment="1">
      <alignment vertical="center"/>
    </xf>
    <xf numFmtId="186" fontId="101" fillId="0" borderId="8" xfId="2338" applyNumberFormat="1" applyFont="1" applyFill="1" applyBorder="1" applyAlignment="1">
      <alignment vertical="center"/>
    </xf>
    <xf numFmtId="186" fontId="137" fillId="0" borderId="8" xfId="0" applyNumberFormat="1" applyFont="1" applyBorder="1" applyAlignment="1">
      <alignment vertical="center"/>
    </xf>
    <xf numFmtId="0" fontId="9" fillId="30" borderId="8" xfId="0" applyFont="1" applyFill="1" applyBorder="1" applyAlignment="1">
      <alignment vertical="center"/>
    </xf>
    <xf numFmtId="49" fontId="10" fillId="0" borderId="8" xfId="2645" applyNumberFormat="1" applyFont="1" applyBorder="1" applyAlignment="1">
      <alignment vertical="center"/>
    </xf>
    <xf numFmtId="49" fontId="10" fillId="30" borderId="8" xfId="2645" applyNumberFormat="1" applyFont="1" applyFill="1" applyBorder="1" applyAlignment="1">
      <alignment vertical="center"/>
    </xf>
    <xf numFmtId="0" fontId="7" fillId="22" borderId="0" xfId="0" applyFont="1" applyFill="1" applyAlignment="1">
      <alignment vertical="center"/>
    </xf>
    <xf numFmtId="0" fontId="10" fillId="22" borderId="0" xfId="0" applyFont="1" applyFill="1" applyAlignment="1">
      <alignment vertical="center" wrapText="1"/>
    </xf>
    <xf numFmtId="0" fontId="8" fillId="22" borderId="0" xfId="0" applyFont="1" applyFill="1" applyAlignment="1">
      <alignment vertical="center"/>
    </xf>
    <xf numFmtId="49" fontId="9" fillId="0" borderId="8" xfId="0" applyNumberFormat="1" applyFont="1" applyBorder="1" applyAlignment="1">
      <alignment vertical="center"/>
    </xf>
    <xf numFmtId="49" fontId="9" fillId="30" borderId="8" xfId="0" applyNumberFormat="1" applyFont="1" applyFill="1" applyBorder="1" applyAlignment="1">
      <alignment vertical="center"/>
    </xf>
    <xf numFmtId="186" fontId="10" fillId="0" borderId="8" xfId="2338" applyNumberFormat="1" applyFont="1" applyFill="1" applyBorder="1" applyAlignment="1">
      <alignment vertical="center"/>
    </xf>
    <xf numFmtId="186" fontId="9" fillId="36" borderId="8" xfId="2338" applyNumberFormat="1" applyFont="1" applyFill="1" applyBorder="1" applyAlignment="1">
      <alignment vertical="center"/>
    </xf>
    <xf numFmtId="0" fontId="9" fillId="22" borderId="0" xfId="0" applyFont="1" applyFill="1" applyAlignment="1">
      <alignment horizontal="center" vertical="center"/>
    </xf>
    <xf numFmtId="0" fontId="157" fillId="31" borderId="0" xfId="0" applyFont="1" applyFill="1"/>
    <xf numFmtId="49" fontId="157" fillId="31" borderId="0" xfId="0" applyNumberFormat="1" applyFont="1" applyFill="1" applyAlignment="1">
      <alignment horizontal="center"/>
    </xf>
    <xf numFmtId="49" fontId="161" fillId="31" borderId="0" xfId="0" applyNumberFormat="1" applyFont="1" applyFill="1" applyAlignment="1">
      <alignment horizontal="center" vertical="center" wrapText="1"/>
    </xf>
    <xf numFmtId="49" fontId="161" fillId="31" borderId="0" xfId="0" applyNumberFormat="1" applyFont="1" applyFill="1" applyAlignment="1">
      <alignment horizontal="left" vertical="center" wrapText="1"/>
    </xf>
    <xf numFmtId="254" fontId="161" fillId="31" borderId="0" xfId="0" applyNumberFormat="1" applyFont="1" applyFill="1" applyAlignment="1">
      <alignment horizontal="center" vertical="center" wrapText="1"/>
    </xf>
    <xf numFmtId="49" fontId="142" fillId="31" borderId="8" xfId="0" applyNumberFormat="1" applyFont="1" applyFill="1" applyBorder="1" applyAlignment="1">
      <alignment horizontal="center" vertical="center" wrapText="1"/>
    </xf>
    <xf numFmtId="49" fontId="142" fillId="31" borderId="8" xfId="0" applyNumberFormat="1" applyFont="1" applyFill="1" applyBorder="1" applyAlignment="1">
      <alignment horizontal="left" vertical="center" wrapText="1"/>
    </xf>
    <xf numFmtId="254" fontId="142" fillId="31" borderId="8" xfId="0" applyNumberFormat="1" applyFont="1" applyFill="1" applyBorder="1" applyAlignment="1">
      <alignment horizontal="center" vertical="center" wrapText="1"/>
    </xf>
    <xf numFmtId="0" fontId="139" fillId="31" borderId="0" xfId="0" applyFont="1" applyFill="1"/>
    <xf numFmtId="0" fontId="142" fillId="31" borderId="0" xfId="0" applyFont="1" applyFill="1"/>
    <xf numFmtId="0" fontId="162" fillId="31" borderId="0" xfId="0" applyFont="1" applyFill="1"/>
    <xf numFmtId="0" fontId="163" fillId="31" borderId="8" xfId="0" applyFont="1" applyFill="1" applyBorder="1" applyAlignment="1">
      <alignment horizontal="left" vertical="center" wrapText="1"/>
    </xf>
    <xf numFmtId="0" fontId="163" fillId="31" borderId="8" xfId="0" applyFont="1" applyFill="1" applyBorder="1" applyAlignment="1">
      <alignment horizontal="center" vertical="center" wrapText="1"/>
    </xf>
    <xf numFmtId="49" fontId="157" fillId="31" borderId="0" xfId="0" applyNumberFormat="1" applyFont="1" applyFill="1"/>
    <xf numFmtId="49" fontId="157" fillId="31" borderId="0" xfId="0" applyNumberFormat="1" applyFont="1" applyFill="1" applyAlignment="1">
      <alignment horizontal="left"/>
    </xf>
    <xf numFmtId="254" fontId="157" fillId="31" borderId="0" xfId="0" applyNumberFormat="1" applyFont="1" applyFill="1" applyAlignment="1">
      <alignment horizontal="center"/>
    </xf>
    <xf numFmtId="0" fontId="10" fillId="31" borderId="8" xfId="0" applyFont="1" applyFill="1" applyBorder="1" applyAlignment="1">
      <alignment horizontal="center" vertical="center"/>
    </xf>
    <xf numFmtId="0" fontId="10" fillId="31" borderId="8" xfId="0" applyFont="1" applyFill="1" applyBorder="1" applyAlignment="1">
      <alignment vertical="center" wrapText="1"/>
    </xf>
    <xf numFmtId="1" fontId="10" fillId="31" borderId="8" xfId="0" applyNumberFormat="1" applyFont="1" applyFill="1" applyBorder="1" applyAlignment="1">
      <alignment horizontal="center" vertical="center" wrapText="1"/>
    </xf>
    <xf numFmtId="0" fontId="157" fillId="31" borderId="8" xfId="2645" applyFont="1" applyFill="1" applyBorder="1" applyAlignment="1">
      <alignment vertical="center" wrapText="1"/>
    </xf>
    <xf numFmtId="0" fontId="157" fillId="31" borderId="8" xfId="0" applyFont="1" applyFill="1" applyBorder="1" applyAlignment="1">
      <alignment horizontal="center" vertical="center"/>
    </xf>
    <xf numFmtId="0" fontId="9" fillId="31" borderId="8" xfId="2645" applyFont="1" applyFill="1" applyBorder="1" applyAlignment="1">
      <alignment vertical="center" wrapText="1"/>
    </xf>
    <xf numFmtId="2" fontId="9" fillId="31" borderId="8" xfId="0" applyNumberFormat="1" applyFont="1" applyFill="1" applyBorder="1" applyAlignment="1">
      <alignment horizontal="center" vertical="center"/>
    </xf>
    <xf numFmtId="251" fontId="9" fillId="31" borderId="8" xfId="0" applyNumberFormat="1" applyFont="1" applyFill="1" applyBorder="1" applyAlignment="1">
      <alignment horizontal="center" vertical="center"/>
    </xf>
    <xf numFmtId="0" fontId="137" fillId="31" borderId="8" xfId="2645" applyFont="1" applyFill="1" applyBorder="1" applyAlignment="1">
      <alignment vertical="center" wrapText="1"/>
    </xf>
    <xf numFmtId="1" fontId="137" fillId="31" borderId="8" xfId="0" applyNumberFormat="1" applyFont="1" applyFill="1" applyBorder="1" applyAlignment="1">
      <alignment horizontal="center" vertical="center"/>
    </xf>
    <xf numFmtId="0" fontId="137" fillId="31" borderId="8" xfId="0" applyFont="1" applyFill="1" applyBorder="1" applyAlignment="1">
      <alignment horizontal="center" vertical="center"/>
    </xf>
    <xf numFmtId="0" fontId="137" fillId="31" borderId="8" xfId="0" applyFont="1" applyFill="1" applyBorder="1" applyAlignment="1">
      <alignment vertical="center" wrapText="1"/>
    </xf>
    <xf numFmtId="3" fontId="137" fillId="31" borderId="8" xfId="0" applyNumberFormat="1" applyFont="1" applyFill="1" applyBorder="1" applyAlignment="1">
      <alignment horizontal="center" vertical="center"/>
    </xf>
    <xf numFmtId="0" fontId="137" fillId="31" borderId="8" xfId="4094" applyFont="1" applyFill="1" applyBorder="1" applyAlignment="1">
      <alignment vertical="center" wrapText="1"/>
    </xf>
    <xf numFmtId="3" fontId="137" fillId="31" borderId="8" xfId="4094" applyNumberFormat="1" applyFont="1" applyFill="1" applyBorder="1" applyAlignment="1">
      <alignment horizontal="center" vertical="center"/>
    </xf>
    <xf numFmtId="0" fontId="137" fillId="31" borderId="8" xfId="4094" applyFont="1" applyFill="1" applyBorder="1" applyAlignment="1">
      <alignment horizontal="center" vertical="center"/>
    </xf>
    <xf numFmtId="1" fontId="9" fillId="31" borderId="8" xfId="0" applyNumberFormat="1" applyFont="1" applyFill="1" applyBorder="1" applyAlignment="1">
      <alignment vertical="center" wrapText="1"/>
    </xf>
    <xf numFmtId="3" fontId="9" fillId="31" borderId="8" xfId="2645" applyNumberFormat="1" applyFont="1" applyFill="1" applyBorder="1" applyAlignment="1">
      <alignment horizontal="center" vertical="center"/>
    </xf>
    <xf numFmtId="3" fontId="137" fillId="31" borderId="8" xfId="0" applyNumberFormat="1" applyFont="1" applyFill="1" applyBorder="1" applyAlignment="1">
      <alignment horizontal="center" vertical="center" wrapText="1"/>
    </xf>
    <xf numFmtId="0" fontId="137" fillId="31" borderId="8" xfId="0" applyFont="1" applyFill="1" applyBorder="1" applyAlignment="1">
      <alignment horizontal="center" vertical="center" wrapText="1"/>
    </xf>
    <xf numFmtId="0" fontId="10" fillId="31" borderId="8" xfId="2377" applyFont="1" applyFill="1" applyBorder="1" applyAlignment="1">
      <alignment horizontal="left" vertical="center" wrapText="1"/>
    </xf>
    <xf numFmtId="1" fontId="10" fillId="31" borderId="8" xfId="0" applyNumberFormat="1" applyFont="1" applyFill="1" applyBorder="1" applyAlignment="1">
      <alignment horizontal="center" vertical="center"/>
    </xf>
    <xf numFmtId="0" fontId="9" fillId="31" borderId="8" xfId="2378" applyFont="1" applyFill="1" applyBorder="1" applyAlignment="1">
      <alignment horizontal="center" vertical="center"/>
    </xf>
    <xf numFmtId="0" fontId="101" fillId="31" borderId="8" xfId="0" applyFont="1" applyFill="1" applyBorder="1" applyAlignment="1">
      <alignment horizontal="left" vertical="center" wrapText="1"/>
    </xf>
    <xf numFmtId="1" fontId="101" fillId="31" borderId="8" xfId="0" applyNumberFormat="1" applyFont="1" applyFill="1" applyBorder="1" applyAlignment="1">
      <alignment horizontal="center" vertical="center"/>
    </xf>
    <xf numFmtId="0" fontId="101" fillId="31" borderId="8" xfId="2378" applyFont="1" applyFill="1" applyBorder="1" applyAlignment="1">
      <alignment horizontal="center" vertical="center"/>
    </xf>
    <xf numFmtId="1" fontId="137" fillId="31" borderId="8" xfId="0" applyNumberFormat="1" applyFont="1" applyFill="1" applyBorder="1" applyAlignment="1">
      <alignment horizontal="center" vertical="center" wrapText="1"/>
    </xf>
    <xf numFmtId="0" fontId="9" fillId="0" borderId="45" xfId="2379" applyFont="1" applyBorder="1" applyAlignment="1">
      <alignment horizontal="center" vertical="center"/>
    </xf>
    <xf numFmtId="0" fontId="10" fillId="0" borderId="0" xfId="2379" applyFont="1" applyAlignment="1">
      <alignment horizontal="center" vertical="center"/>
    </xf>
    <xf numFmtId="0" fontId="10" fillId="0" borderId="96" xfId="2379" applyFont="1" applyBorder="1" applyAlignment="1">
      <alignment horizontal="center" vertical="center"/>
    </xf>
    <xf numFmtId="0" fontId="10" fillId="0" borderId="97" xfId="2379" applyFont="1" applyBorder="1" applyAlignment="1">
      <alignment horizontal="center" vertical="center"/>
    </xf>
    <xf numFmtId="0" fontId="10" fillId="0" borderId="95" xfId="2379" applyFont="1" applyBorder="1" applyAlignment="1">
      <alignment horizontal="center" vertical="center"/>
    </xf>
    <xf numFmtId="0" fontId="10" fillId="0" borderId="98" xfId="2379" applyFont="1" applyBorder="1" applyAlignment="1">
      <alignment horizontal="center" vertical="center"/>
    </xf>
    <xf numFmtId="0" fontId="10" fillId="0" borderId="96" xfId="2379" applyFont="1" applyBorder="1" applyAlignment="1">
      <alignment horizontal="center" vertical="center" wrapText="1"/>
    </xf>
    <xf numFmtId="0" fontId="10" fillId="0" borderId="36" xfId="2379" applyFont="1" applyBorder="1" applyAlignment="1">
      <alignment horizontal="center" vertical="center" wrapText="1"/>
    </xf>
    <xf numFmtId="49" fontId="10" fillId="0" borderId="96" xfId="2379" applyNumberFormat="1" applyFont="1" applyBorder="1" applyAlignment="1">
      <alignment horizontal="center" vertical="center" wrapText="1"/>
    </xf>
    <xf numFmtId="49" fontId="10" fillId="0" borderId="36" xfId="2379" applyNumberFormat="1" applyFont="1" applyBorder="1" applyAlignment="1">
      <alignment horizontal="center" vertical="center" wrapText="1"/>
    </xf>
    <xf numFmtId="2" fontId="10" fillId="0" borderId="0" xfId="2379" applyNumberFormat="1" applyFont="1" applyAlignment="1">
      <alignment horizontal="center" vertical="center" wrapText="1"/>
    </xf>
    <xf numFmtId="0" fontId="10" fillId="0" borderId="98" xfId="0" applyFont="1" applyBorder="1" applyAlignment="1">
      <alignment horizontal="left" vertical="center"/>
    </xf>
    <xf numFmtId="0" fontId="10" fillId="0" borderId="36" xfId="0" applyFont="1" applyBorder="1" applyAlignment="1">
      <alignment horizontal="left" vertical="center"/>
    </xf>
    <xf numFmtId="0" fontId="9" fillId="0" borderId="8" xfId="2379" applyFont="1" applyBorder="1" applyAlignment="1">
      <alignment horizontal="right" vertical="center"/>
    </xf>
    <xf numFmtId="0" fontId="73" fillId="0" borderId="17" xfId="2380" applyFont="1" applyBorder="1" applyAlignment="1">
      <alignment horizontal="center" vertical="center"/>
    </xf>
    <xf numFmtId="0" fontId="73" fillId="0" borderId="0" xfId="2380" applyFont="1" applyAlignment="1">
      <alignment horizontal="center" vertical="center"/>
    </xf>
    <xf numFmtId="0" fontId="73" fillId="0" borderId="16" xfId="2380" applyFont="1" applyBorder="1" applyAlignment="1">
      <alignment horizontal="center" vertical="center"/>
    </xf>
    <xf numFmtId="0" fontId="74" fillId="0" borderId="17" xfId="2380" applyFont="1" applyBorder="1" applyAlignment="1">
      <alignment horizontal="center"/>
    </xf>
    <xf numFmtId="0" fontId="74" fillId="0" borderId="0" xfId="2380" applyFont="1" applyAlignment="1">
      <alignment horizontal="center"/>
    </xf>
    <xf numFmtId="0" fontId="74" fillId="0" borderId="16" xfId="2380" applyFont="1" applyBorder="1" applyAlignment="1">
      <alignment horizontal="center"/>
    </xf>
    <xf numFmtId="0" fontId="74" fillId="0" borderId="17" xfId="2380" applyFont="1" applyBorder="1" applyAlignment="1">
      <alignment horizontal="center" vertical="center"/>
    </xf>
    <xf numFmtId="0" fontId="74" fillId="0" borderId="0" xfId="2380" applyFont="1" applyAlignment="1">
      <alignment horizontal="center" vertical="center"/>
    </xf>
    <xf numFmtId="0" fontId="74" fillId="0" borderId="16" xfId="2380" applyFont="1" applyBorder="1" applyAlignment="1">
      <alignment horizontal="center" vertical="center"/>
    </xf>
    <xf numFmtId="0" fontId="66" fillId="0" borderId="17" xfId="2380" applyFont="1" applyBorder="1" applyAlignment="1">
      <alignment horizontal="center"/>
    </xf>
    <xf numFmtId="0" fontId="66" fillId="0" borderId="0" xfId="2380" applyFont="1" applyAlignment="1">
      <alignment horizontal="center"/>
    </xf>
    <xf numFmtId="0" fontId="66" fillId="0" borderId="16" xfId="2380" applyFont="1" applyBorder="1" applyAlignment="1">
      <alignment horizontal="center"/>
    </xf>
    <xf numFmtId="0" fontId="121" fillId="0" borderId="17" xfId="2380" applyFont="1" applyBorder="1" applyAlignment="1">
      <alignment horizontal="center"/>
    </xf>
    <xf numFmtId="0" fontId="121" fillId="0" borderId="0" xfId="2380" applyFont="1" applyAlignment="1">
      <alignment horizontal="center"/>
    </xf>
    <xf numFmtId="0" fontId="121" fillId="0" borderId="16" xfId="2380" applyFont="1" applyBorder="1" applyAlignment="1">
      <alignment horizontal="center"/>
    </xf>
    <xf numFmtId="0" fontId="71" fillId="0" borderId="17" xfId="2380" applyFont="1" applyBorder="1" applyAlignment="1">
      <alignment horizontal="center" vertical="center" wrapText="1"/>
    </xf>
    <xf numFmtId="0" fontId="71" fillId="0" borderId="0" xfId="2380" applyFont="1" applyAlignment="1">
      <alignment horizontal="center" vertical="center"/>
    </xf>
    <xf numFmtId="0" fontId="71" fillId="0" borderId="16" xfId="2380" applyFont="1" applyBorder="1" applyAlignment="1">
      <alignment horizontal="center" vertical="center"/>
    </xf>
    <xf numFmtId="0" fontId="100" fillId="0" borderId="17" xfId="2380" applyFont="1" applyBorder="1" applyAlignment="1">
      <alignment horizontal="center" vertical="center" wrapText="1"/>
    </xf>
    <xf numFmtId="0" fontId="100" fillId="0" borderId="0" xfId="2380" applyFont="1" applyAlignment="1">
      <alignment horizontal="center" vertical="center"/>
    </xf>
    <xf numFmtId="0" fontId="100" fillId="0" borderId="16" xfId="2380" applyFont="1" applyBorder="1" applyAlignment="1">
      <alignment horizontal="center" vertical="center"/>
    </xf>
    <xf numFmtId="0" fontId="73" fillId="0" borderId="0" xfId="2380" applyFont="1" applyAlignment="1">
      <alignment horizontal="left"/>
    </xf>
    <xf numFmtId="0" fontId="71" fillId="0" borderId="17" xfId="2380" applyFont="1" applyBorder="1" applyAlignment="1">
      <alignment horizontal="center" vertical="center"/>
    </xf>
    <xf numFmtId="0" fontId="121" fillId="0" borderId="17" xfId="2380" applyFont="1" applyBorder="1" applyAlignment="1">
      <alignment horizontal="center" vertical="top"/>
    </xf>
    <xf numFmtId="0" fontId="121" fillId="0" borderId="0" xfId="2380" applyFont="1" applyAlignment="1">
      <alignment horizontal="center" vertical="top"/>
    </xf>
    <xf numFmtId="0" fontId="121" fillId="0" borderId="16" xfId="2380" applyFont="1" applyBorder="1" applyAlignment="1">
      <alignment horizontal="center" vertical="top"/>
    </xf>
    <xf numFmtId="0" fontId="123" fillId="22" borderId="0" xfId="2380" applyFont="1" applyFill="1" applyAlignment="1">
      <alignment horizontal="center"/>
    </xf>
    <xf numFmtId="0" fontId="73" fillId="0" borderId="0" xfId="2380" applyFont="1" applyAlignment="1">
      <alignment horizontal="center"/>
    </xf>
    <xf numFmtId="0" fontId="71" fillId="0" borderId="17" xfId="2380" applyFont="1" applyBorder="1" applyAlignment="1">
      <alignment horizontal="center"/>
    </xf>
    <xf numFmtId="0" fontId="71" fillId="0" borderId="0" xfId="2380" applyFont="1" applyAlignment="1">
      <alignment horizontal="center"/>
    </xf>
    <xf numFmtId="0" fontId="71" fillId="0" borderId="16" xfId="2380" applyFont="1" applyBorder="1" applyAlignment="1">
      <alignment horizontal="center"/>
    </xf>
    <xf numFmtId="0" fontId="71" fillId="0" borderId="17" xfId="2380" applyFont="1" applyBorder="1" applyAlignment="1">
      <alignment horizontal="center" vertical="top" wrapText="1"/>
    </xf>
    <xf numFmtId="0" fontId="71" fillId="0" borderId="0" xfId="2380" applyFont="1" applyAlignment="1">
      <alignment horizontal="center" vertical="top" wrapText="1"/>
    </xf>
    <xf numFmtId="0" fontId="71" fillId="0" borderId="16" xfId="2380" applyFont="1" applyBorder="1" applyAlignment="1">
      <alignment horizontal="center" vertical="top" wrapText="1"/>
    </xf>
    <xf numFmtId="0" fontId="71" fillId="0" borderId="0" xfId="2380" applyFont="1" applyAlignment="1">
      <alignment horizontal="center" vertical="center" wrapText="1"/>
    </xf>
    <xf numFmtId="0" fontId="71" fillId="0" borderId="16" xfId="2380" applyFont="1" applyBorder="1" applyAlignment="1">
      <alignment horizontal="center" vertical="center" wrapText="1"/>
    </xf>
    <xf numFmtId="0" fontId="72" fillId="0" borderId="8" xfId="2380" applyFont="1" applyBorder="1" applyAlignment="1">
      <alignment horizontal="left" vertical="center"/>
    </xf>
    <xf numFmtId="0" fontId="69" fillId="0" borderId="17" xfId="2380" applyFont="1" applyBorder="1" applyAlignment="1">
      <alignment horizontal="center" vertical="center"/>
    </xf>
    <xf numFmtId="0" fontId="69" fillId="0" borderId="0" xfId="2380" applyFont="1" applyAlignment="1">
      <alignment horizontal="center" vertical="center"/>
    </xf>
    <xf numFmtId="0" fontId="69" fillId="0" borderId="16" xfId="2380" applyFont="1" applyBorder="1" applyAlignment="1">
      <alignment horizontal="center" vertical="center"/>
    </xf>
    <xf numFmtId="0" fontId="75" fillId="0" borderId="0" xfId="2380" applyFont="1" applyAlignment="1">
      <alignment horizontal="center" vertical="center"/>
    </xf>
    <xf numFmtId="0" fontId="72" fillId="0" borderId="0" xfId="238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center" wrapText="1"/>
    </xf>
    <xf numFmtId="0" fontId="72" fillId="0" borderId="0" xfId="0" applyFont="1" applyAlignment="1">
      <alignment horizontal="center" vertical="center"/>
    </xf>
    <xf numFmtId="38" fontId="133" fillId="0" borderId="8" xfId="2383" applyNumberFormat="1" applyFont="1" applyBorder="1" applyAlignment="1">
      <alignment horizontal="center" vertical="center" wrapText="1"/>
    </xf>
    <xf numFmtId="38" fontId="133" fillId="0" borderId="8" xfId="2383" applyNumberFormat="1" applyFont="1" applyBorder="1" applyAlignment="1">
      <alignment horizontal="center" vertical="center"/>
    </xf>
    <xf numFmtId="38" fontId="10" fillId="0" borderId="26" xfId="2383" applyNumberFormat="1" applyFont="1" applyBorder="1" applyAlignment="1">
      <alignment horizontal="center" vertical="center" wrapText="1"/>
    </xf>
    <xf numFmtId="38" fontId="133" fillId="0" borderId="13" xfId="2383" applyNumberFormat="1" applyFont="1" applyBorder="1" applyAlignment="1">
      <alignment horizontal="center" vertical="center" wrapText="1"/>
    </xf>
    <xf numFmtId="38" fontId="133" fillId="0" borderId="6" xfId="2383" applyNumberFormat="1" applyFont="1" applyBorder="1" applyAlignment="1">
      <alignment horizontal="center" vertical="center" wrapText="1"/>
    </xf>
    <xf numFmtId="38" fontId="133" fillId="0" borderId="26" xfId="2383" applyNumberFormat="1" applyFont="1" applyBorder="1" applyAlignment="1">
      <alignment horizontal="center" vertical="center" wrapText="1"/>
    </xf>
    <xf numFmtId="0" fontId="54" fillId="0" borderId="0" xfId="0" applyFont="1" applyAlignment="1">
      <alignment horizontal="center" vertical="center"/>
    </xf>
    <xf numFmtId="0" fontId="51" fillId="0" borderId="0" xfId="0" applyFont="1" applyAlignment="1">
      <alignment horizontal="center" vertical="center" wrapText="1"/>
    </xf>
    <xf numFmtId="38" fontId="51" fillId="0" borderId="8" xfId="2383" applyNumberFormat="1" applyFont="1" applyBorder="1" applyAlignment="1">
      <alignment horizontal="center" vertical="center" wrapText="1"/>
    </xf>
    <xf numFmtId="38" fontId="51" fillId="0" borderId="8" xfId="2383" applyNumberFormat="1" applyFont="1" applyBorder="1" applyAlignment="1">
      <alignment horizontal="center" vertical="center"/>
    </xf>
    <xf numFmtId="0" fontId="131" fillId="0" borderId="0" xfId="0" applyFont="1" applyAlignment="1">
      <alignment horizontal="center" vertical="center"/>
    </xf>
    <xf numFmtId="38" fontId="83" fillId="27" borderId="54" xfId="2383" applyNumberFormat="1" applyFont="1" applyFill="1" applyBorder="1" applyAlignment="1">
      <alignment horizontal="center" vertical="center"/>
    </xf>
    <xf numFmtId="38" fontId="83" fillId="27" borderId="55" xfId="2383" applyNumberFormat="1" applyFont="1" applyFill="1" applyBorder="1" applyAlignment="1">
      <alignment horizontal="center" vertical="center"/>
    </xf>
    <xf numFmtId="38" fontId="83" fillId="27" borderId="56" xfId="2383" applyNumberFormat="1" applyFont="1" applyFill="1" applyBorder="1" applyAlignment="1">
      <alignment horizontal="center" vertical="center"/>
    </xf>
    <xf numFmtId="243" fontId="10" fillId="0" borderId="100" xfId="0" quotePrefix="1" applyNumberFormat="1" applyFont="1" applyBorder="1" applyAlignment="1">
      <alignment horizontal="left" vertical="center"/>
    </xf>
    <xf numFmtId="243" fontId="10" fillId="0" borderId="101" xfId="0" quotePrefix="1" applyNumberFormat="1" applyFont="1" applyBorder="1" applyAlignment="1">
      <alignment horizontal="left" vertical="center"/>
    </xf>
    <xf numFmtId="243" fontId="10" fillId="0" borderId="98" xfId="0" quotePrefix="1" applyNumberFormat="1" applyFont="1" applyBorder="1" applyAlignment="1">
      <alignment horizontal="left" vertical="center"/>
    </xf>
    <xf numFmtId="243" fontId="10" fillId="0" borderId="36" xfId="0" quotePrefix="1" applyNumberFormat="1" applyFont="1" applyBorder="1" applyAlignment="1">
      <alignment horizontal="left" vertical="center"/>
    </xf>
    <xf numFmtId="49" fontId="159" fillId="31" borderId="0" xfId="0" applyNumberFormat="1" applyFont="1" applyFill="1" applyAlignment="1">
      <alignment horizontal="center" vertical="center"/>
    </xf>
    <xf numFmtId="254" fontId="160" fillId="31" borderId="0" xfId="0" applyNumberFormat="1" applyFont="1" applyFill="1" applyAlignment="1">
      <alignment horizontal="left" vertical="center"/>
    </xf>
    <xf numFmtId="0" fontId="10" fillId="31" borderId="45" xfId="0" applyFont="1" applyFill="1" applyBorder="1" applyAlignment="1">
      <alignment horizontal="center" vertical="center"/>
    </xf>
    <xf numFmtId="0" fontId="10" fillId="30" borderId="45" xfId="0" applyFont="1" applyFill="1" applyBorder="1" applyAlignment="1">
      <alignment horizontal="center" vertical="center"/>
    </xf>
    <xf numFmtId="207" fontId="7" fillId="31" borderId="0" xfId="2384" applyNumberFormat="1" applyFont="1" applyFill="1" applyAlignment="1">
      <alignment horizontal="center" wrapText="1"/>
    </xf>
    <xf numFmtId="207" fontId="7" fillId="30" borderId="0" xfId="2384" applyNumberFormat="1" applyFont="1" applyFill="1" applyAlignment="1">
      <alignment horizontal="center" wrapText="1"/>
    </xf>
    <xf numFmtId="0" fontId="10" fillId="31" borderId="8" xfId="2649" applyFont="1" applyFill="1" applyBorder="1" applyAlignment="1">
      <alignment horizontal="center" vertical="center"/>
    </xf>
    <xf numFmtId="1" fontId="10" fillId="31" borderId="8" xfId="2384" applyNumberFormat="1" applyFont="1" applyFill="1" applyBorder="1" applyAlignment="1">
      <alignment horizontal="center" vertical="center" wrapText="1"/>
    </xf>
    <xf numFmtId="1" fontId="10" fillId="31" borderId="8" xfId="2384" applyNumberFormat="1" applyFont="1" applyFill="1" applyBorder="1" applyAlignment="1">
      <alignment horizontal="center" vertical="center"/>
    </xf>
    <xf numFmtId="1" fontId="8" fillId="31" borderId="8" xfId="2384" applyNumberFormat="1" applyFont="1" applyFill="1" applyBorder="1" applyAlignment="1">
      <alignment horizontal="center" vertical="center" wrapText="1"/>
    </xf>
    <xf numFmtId="1" fontId="8" fillId="31" borderId="8" xfId="2384" applyNumberFormat="1" applyFont="1" applyFill="1" applyBorder="1" applyAlignment="1">
      <alignment horizontal="center" vertical="center"/>
    </xf>
    <xf numFmtId="1" fontId="156" fillId="31" borderId="8" xfId="2382" applyNumberFormat="1" applyFont="1" applyFill="1" applyBorder="1" applyAlignment="1">
      <alignment horizontal="center" vertical="center" wrapText="1"/>
    </xf>
    <xf numFmtId="1" fontId="8" fillId="31" borderId="24" xfId="2384" applyNumberFormat="1" applyFont="1" applyFill="1" applyBorder="1" applyAlignment="1">
      <alignment horizontal="center" vertical="center" wrapText="1"/>
    </xf>
    <xf numFmtId="1" fontId="8" fillId="31" borderId="4" xfId="2384" applyNumberFormat="1" applyFont="1" applyFill="1" applyBorder="1" applyAlignment="1">
      <alignment horizontal="center" vertical="center" wrapText="1"/>
    </xf>
    <xf numFmtId="1" fontId="10" fillId="31" borderId="13" xfId="2384" applyNumberFormat="1" applyFont="1" applyFill="1" applyBorder="1" applyAlignment="1">
      <alignment horizontal="center" vertical="center" wrapText="1"/>
    </xf>
    <xf numFmtId="1" fontId="10" fillId="30" borderId="6" xfId="2384" applyNumberFormat="1" applyFont="1" applyFill="1" applyBorder="1" applyAlignment="1">
      <alignment horizontal="center" vertical="center" wrapText="1"/>
    </xf>
    <xf numFmtId="1" fontId="10" fillId="31" borderId="6" xfId="2384" applyNumberFormat="1" applyFont="1" applyFill="1" applyBorder="1" applyAlignment="1">
      <alignment horizontal="center" vertical="center" wrapText="1"/>
    </xf>
    <xf numFmtId="1" fontId="10" fillId="31" borderId="26" xfId="2384" applyNumberFormat="1" applyFont="1" applyFill="1" applyBorder="1" applyAlignment="1">
      <alignment horizontal="center" vertical="center" wrapText="1"/>
    </xf>
    <xf numFmtId="0" fontId="10" fillId="31" borderId="13" xfId="2649" applyFont="1" applyFill="1" applyBorder="1" applyAlignment="1">
      <alignment horizontal="center" vertical="center" wrapText="1"/>
    </xf>
    <xf numFmtId="0" fontId="10" fillId="31" borderId="6" xfId="2649" applyFont="1" applyFill="1" applyBorder="1" applyAlignment="1">
      <alignment horizontal="center" vertical="center" wrapText="1"/>
    </xf>
    <xf numFmtId="0" fontId="10" fillId="31" borderId="26" xfId="2649" applyFont="1" applyFill="1" applyBorder="1" applyAlignment="1">
      <alignment horizontal="center" vertical="center" wrapText="1"/>
    </xf>
    <xf numFmtId="0" fontId="10" fillId="31" borderId="8" xfId="2386" applyFont="1" applyFill="1" applyBorder="1" applyAlignment="1">
      <alignment horizontal="center" vertical="center" wrapText="1"/>
    </xf>
    <xf numFmtId="1" fontId="10" fillId="31" borderId="8" xfId="2382" applyNumberFormat="1" applyFont="1" applyFill="1" applyBorder="1" applyAlignment="1">
      <alignment horizontal="center" vertical="center"/>
    </xf>
    <xf numFmtId="207" fontId="10" fillId="31" borderId="0" xfId="2384" applyNumberFormat="1" applyFont="1" applyFill="1" applyAlignment="1">
      <alignment horizontal="center" vertical="center" wrapText="1"/>
    </xf>
    <xf numFmtId="207" fontId="10" fillId="31" borderId="45" xfId="2384" applyNumberFormat="1" applyFont="1" applyFill="1" applyBorder="1" applyAlignment="1">
      <alignment horizontal="center" vertical="center" wrapText="1"/>
    </xf>
    <xf numFmtId="0" fontId="7" fillId="22" borderId="0" xfId="2386" applyFont="1" applyFill="1" applyAlignment="1">
      <alignment horizontal="center" vertical="center" wrapText="1"/>
    </xf>
    <xf numFmtId="1" fontId="12" fillId="29" borderId="70" xfId="2382" applyNumberFormat="1" applyFont="1" applyFill="1" applyBorder="1" applyAlignment="1">
      <alignment horizontal="center" vertical="center"/>
    </xf>
    <xf numFmtId="1" fontId="12" fillId="29" borderId="68" xfId="2382" applyNumberFormat="1" applyFont="1" applyFill="1" applyBorder="1" applyAlignment="1">
      <alignment horizontal="center" vertical="center"/>
    </xf>
    <xf numFmtId="1" fontId="12" fillId="29" borderId="57" xfId="2382" applyNumberFormat="1" applyFont="1" applyFill="1" applyBorder="1" applyAlignment="1">
      <alignment horizontal="center" vertical="center"/>
    </xf>
    <xf numFmtId="1" fontId="12" fillId="29" borderId="58" xfId="2382" applyNumberFormat="1" applyFont="1" applyFill="1" applyBorder="1" applyAlignment="1">
      <alignment horizontal="center" vertical="center"/>
    </xf>
    <xf numFmtId="1" fontId="12" fillId="29" borderId="73" xfId="2384" applyNumberFormat="1" applyFont="1" applyFill="1" applyBorder="1" applyAlignment="1">
      <alignment horizontal="center" vertical="center" wrapText="1"/>
    </xf>
    <xf numFmtId="1" fontId="76" fillId="29" borderId="43" xfId="2384" applyNumberFormat="1" applyFont="1" applyFill="1" applyBorder="1" applyAlignment="1">
      <alignment horizontal="center" vertical="center"/>
    </xf>
    <xf numFmtId="1" fontId="12" fillId="29" borderId="42" xfId="2384" applyNumberFormat="1" applyFont="1" applyFill="1" applyBorder="1" applyAlignment="1">
      <alignment horizontal="center" vertical="center" wrapText="1"/>
    </xf>
    <xf numFmtId="1" fontId="76" fillId="29" borderId="8" xfId="2384" applyNumberFormat="1" applyFont="1" applyFill="1" applyBorder="1" applyAlignment="1">
      <alignment horizontal="center" vertical="center"/>
    </xf>
    <xf numFmtId="207" fontId="11" fillId="22" borderId="0" xfId="2384" applyNumberFormat="1" applyFont="1" applyFill="1" applyAlignment="1">
      <alignment horizontal="center" vertical="center"/>
    </xf>
    <xf numFmtId="0" fontId="12" fillId="29" borderId="42" xfId="0" applyFont="1" applyFill="1" applyBorder="1" applyAlignment="1">
      <alignment horizontal="center" vertical="center" wrapText="1"/>
    </xf>
    <xf numFmtId="0" fontId="12" fillId="29" borderId="71" xfId="0" applyFont="1" applyFill="1" applyBorder="1" applyAlignment="1">
      <alignment horizontal="center" vertical="center"/>
    </xf>
    <xf numFmtId="0" fontId="12" fillId="29" borderId="72" xfId="0" applyFont="1" applyFill="1" applyBorder="1" applyAlignment="1">
      <alignment horizontal="center" vertical="center"/>
    </xf>
    <xf numFmtId="0" fontId="10" fillId="31" borderId="45" xfId="0" applyFont="1" applyFill="1" applyBorder="1" applyAlignment="1">
      <alignment horizontal="center" vertical="center" wrapText="1"/>
    </xf>
    <xf numFmtId="1" fontId="10" fillId="31" borderId="8" xfId="2382" applyNumberFormat="1" applyFont="1" applyFill="1" applyBorder="1" applyAlignment="1">
      <alignment horizontal="center" vertical="center" wrapText="1"/>
    </xf>
    <xf numFmtId="3" fontId="138" fillId="0" borderId="0" xfId="4102" applyNumberFormat="1" applyFont="1" applyAlignment="1">
      <alignment horizontal="center" vertical="center" wrapText="1"/>
    </xf>
    <xf numFmtId="3" fontId="142" fillId="0" borderId="24" xfId="4102" applyNumberFormat="1" applyFont="1" applyBorder="1" applyAlignment="1">
      <alignment horizontal="center" vertical="center" wrapText="1"/>
    </xf>
    <xf numFmtId="3" fontId="142" fillId="0" borderId="4" xfId="4102" applyNumberFormat="1" applyFont="1" applyBorder="1" applyAlignment="1">
      <alignment horizontal="center" vertical="center" wrapText="1"/>
    </xf>
    <xf numFmtId="3" fontId="142" fillId="0" borderId="24" xfId="4102" applyNumberFormat="1" applyFont="1" applyBorder="1" applyAlignment="1">
      <alignment horizontal="center" vertical="center"/>
    </xf>
    <xf numFmtId="3" fontId="142" fillId="0" borderId="4" xfId="4102" applyNumberFormat="1" applyFont="1" applyBorder="1" applyAlignment="1">
      <alignment horizontal="center" vertical="center"/>
    </xf>
    <xf numFmtId="3" fontId="142" fillId="0" borderId="24" xfId="2341" applyNumberFormat="1" applyFont="1" applyBorder="1" applyAlignment="1">
      <alignment horizontal="center" vertical="center"/>
    </xf>
    <xf numFmtId="3" fontId="142" fillId="0" borderId="4" xfId="2341" applyNumberFormat="1"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2" fillId="0" borderId="2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8" xfId="0" applyFont="1" applyBorder="1" applyAlignment="1">
      <alignment horizontal="center" vertical="center" wrapText="1"/>
    </xf>
    <xf numFmtId="0" fontId="7" fillId="31" borderId="0" xfId="0" applyFont="1" applyFill="1" applyAlignment="1">
      <alignment horizontal="center" vertical="center" wrapText="1"/>
    </xf>
    <xf numFmtId="0" fontId="10" fillId="31" borderId="24" xfId="0" applyFont="1" applyFill="1" applyBorder="1" applyAlignment="1">
      <alignment horizontal="center" vertical="center" wrapText="1"/>
    </xf>
    <xf numFmtId="0" fontId="10" fillId="31" borderId="4" xfId="0" applyFont="1" applyFill="1" applyBorder="1" applyAlignment="1">
      <alignment horizontal="center" vertical="center" wrapText="1"/>
    </xf>
    <xf numFmtId="207" fontId="10" fillId="31" borderId="24" xfId="0" applyNumberFormat="1" applyFont="1" applyFill="1" applyBorder="1" applyAlignment="1">
      <alignment horizontal="center" vertical="center" wrapText="1"/>
    </xf>
    <xf numFmtId="207" fontId="10" fillId="31" borderId="4" xfId="0" applyNumberFormat="1" applyFont="1" applyFill="1" applyBorder="1" applyAlignment="1">
      <alignment horizontal="center" vertical="center" wrapText="1"/>
    </xf>
    <xf numFmtId="0" fontId="10" fillId="31" borderId="0" xfId="0" applyFont="1" applyFill="1" applyAlignment="1">
      <alignment horizontal="center" vertical="center" wrapText="1"/>
    </xf>
    <xf numFmtId="0" fontId="8" fillId="0" borderId="0" xfId="0" applyFont="1" applyAlignment="1">
      <alignment horizontal="left" wrapText="1"/>
    </xf>
    <xf numFmtId="0" fontId="7" fillId="0" borderId="0" xfId="0" applyFont="1" applyAlignment="1">
      <alignment horizontal="center"/>
    </xf>
    <xf numFmtId="0" fontId="72" fillId="28" borderId="13" xfId="2387" applyFont="1" applyFill="1" applyBorder="1" applyAlignment="1">
      <alignment horizontal="center" vertical="center"/>
    </xf>
    <xf numFmtId="0" fontId="72" fillId="28" borderId="6" xfId="2387" applyFont="1" applyFill="1" applyBorder="1" applyAlignment="1">
      <alignment horizontal="center" vertical="center"/>
    </xf>
    <xf numFmtId="0" fontId="72" fillId="28" borderId="13" xfId="2387" applyFont="1" applyFill="1" applyBorder="1" applyAlignment="1">
      <alignment horizontal="center"/>
    </xf>
    <xf numFmtId="0" fontId="72" fillId="28" borderId="6" xfId="2387" applyFont="1" applyFill="1" applyBorder="1" applyAlignment="1">
      <alignment horizontal="center"/>
    </xf>
    <xf numFmtId="0" fontId="72" fillId="28" borderId="26" xfId="2387" applyFont="1" applyFill="1" applyBorder="1" applyAlignment="1">
      <alignment horizontal="center" vertical="center"/>
    </xf>
    <xf numFmtId="0" fontId="125" fillId="22" borderId="0" xfId="2376" applyFont="1" applyFill="1" applyAlignment="1">
      <alignment horizontal="center"/>
    </xf>
    <xf numFmtId="0" fontId="127" fillId="0" borderId="45" xfId="2376" applyFont="1" applyBorder="1" applyAlignment="1">
      <alignment horizontal="center"/>
    </xf>
    <xf numFmtId="0" fontId="128" fillId="0" borderId="13" xfId="2376" applyFont="1" applyBorder="1" applyAlignment="1">
      <alignment horizontal="center"/>
    </xf>
    <xf numFmtId="0" fontId="128" fillId="0" borderId="26" xfId="2376" applyFont="1" applyBorder="1" applyAlignment="1">
      <alignment horizontal="center"/>
    </xf>
    <xf numFmtId="0" fontId="36" fillId="0" borderId="25" xfId="2376" applyFont="1" applyBorder="1" applyAlignment="1">
      <alignment horizontal="left"/>
    </xf>
    <xf numFmtId="0" fontId="158" fillId="0" borderId="0" xfId="2379" applyFont="1" applyAlignment="1">
      <alignment horizontal="center" vertical="center"/>
    </xf>
    <xf numFmtId="0" fontId="157" fillId="0" borderId="0" xfId="2379" applyFont="1" applyAlignment="1">
      <alignment vertical="center" wrapText="1"/>
    </xf>
    <xf numFmtId="49" fontId="157" fillId="0" borderId="0" xfId="2379" applyNumberFormat="1" applyFont="1" applyAlignment="1">
      <alignment horizontal="center" vertical="center"/>
    </xf>
    <xf numFmtId="0" fontId="157" fillId="0" borderId="0" xfId="2379" applyFont="1" applyAlignment="1">
      <alignment horizontal="center" vertical="center"/>
    </xf>
    <xf numFmtId="0" fontId="157" fillId="0" borderId="0" xfId="2379" applyFont="1" applyAlignment="1">
      <alignment horizontal="right" vertical="center"/>
    </xf>
    <xf numFmtId="189" fontId="157" fillId="0" borderId="0" xfId="2338" applyNumberFormat="1" applyFont="1" applyFill="1" applyAlignment="1">
      <alignment horizontal="right" vertical="center"/>
    </xf>
    <xf numFmtId="0" fontId="157" fillId="0" borderId="8" xfId="2379" applyFont="1" applyBorder="1" applyAlignment="1">
      <alignment horizontal="center" vertical="center"/>
    </xf>
    <xf numFmtId="0" fontId="157" fillId="0" borderId="8" xfId="2379" applyFont="1" applyBorder="1" applyAlignment="1">
      <alignment vertical="center"/>
    </xf>
    <xf numFmtId="0" fontId="158" fillId="0" borderId="0" xfId="2379" applyFont="1" applyAlignment="1">
      <alignment horizontal="center" vertical="center"/>
    </xf>
    <xf numFmtId="2" fontId="158" fillId="0" borderId="0" xfId="2379" applyNumberFormat="1" applyFont="1" applyAlignment="1">
      <alignment horizontal="center" vertical="center" wrapText="1"/>
    </xf>
    <xf numFmtId="0" fontId="158" fillId="0" borderId="95" xfId="2379" applyFont="1" applyBorder="1" applyAlignment="1">
      <alignment horizontal="center" vertical="center"/>
    </xf>
    <xf numFmtId="0" fontId="158" fillId="0" borderId="96" xfId="2379" applyFont="1" applyBorder="1" applyAlignment="1">
      <alignment horizontal="center" vertical="center" wrapText="1"/>
    </xf>
    <xf numFmtId="49" fontId="158" fillId="0" borderId="96" xfId="2379" applyNumberFormat="1" applyFont="1" applyBorder="1" applyAlignment="1">
      <alignment horizontal="center" vertical="center" wrapText="1"/>
    </xf>
    <xf numFmtId="0" fontId="158" fillId="0" borderId="96" xfId="2379" applyFont="1" applyBorder="1" applyAlignment="1">
      <alignment horizontal="center" vertical="center"/>
    </xf>
    <xf numFmtId="0" fontId="158" fillId="0" borderId="97" xfId="2379" applyFont="1" applyBorder="1" applyAlignment="1">
      <alignment horizontal="center" vertical="center"/>
    </xf>
    <xf numFmtId="0" fontId="158" fillId="0" borderId="98" xfId="2379" applyFont="1" applyBorder="1" applyAlignment="1">
      <alignment horizontal="center" vertical="center"/>
    </xf>
    <xf numFmtId="0" fontId="158" fillId="0" borderId="36" xfId="2379" applyFont="1" applyBorder="1" applyAlignment="1">
      <alignment horizontal="center" vertical="center" wrapText="1"/>
    </xf>
    <xf numFmtId="49" fontId="158" fillId="0" borderId="36" xfId="2379" applyNumberFormat="1" applyFont="1" applyBorder="1" applyAlignment="1">
      <alignment horizontal="center" vertical="center" wrapText="1"/>
    </xf>
    <xf numFmtId="186" fontId="158" fillId="0" borderId="36" xfId="2338" applyNumberFormat="1" applyFont="1" applyFill="1" applyBorder="1" applyAlignment="1">
      <alignment horizontal="center" vertical="center" wrapText="1"/>
    </xf>
    <xf numFmtId="189" fontId="158" fillId="0" borderId="36" xfId="2338" applyNumberFormat="1" applyFont="1" applyFill="1" applyBorder="1" applyAlignment="1">
      <alignment horizontal="center" vertical="center"/>
    </xf>
    <xf numFmtId="0" fontId="158" fillId="0" borderId="36" xfId="2379" applyFont="1" applyBorder="1" applyAlignment="1">
      <alignment horizontal="center" vertical="center"/>
    </xf>
    <xf numFmtId="189" fontId="158" fillId="0" borderId="99" xfId="2338" applyNumberFormat="1" applyFont="1" applyFill="1" applyBorder="1" applyAlignment="1">
      <alignment horizontal="center" vertical="center"/>
    </xf>
    <xf numFmtId="0" fontId="157" fillId="0" borderId="8" xfId="2379" applyFont="1" applyBorder="1" applyAlignment="1">
      <alignment horizontal="right" vertical="center"/>
    </xf>
    <xf numFmtId="0" fontId="157" fillId="0" borderId="8" xfId="2379" applyFont="1" applyBorder="1" applyAlignment="1">
      <alignment horizontal="right" vertical="center"/>
    </xf>
    <xf numFmtId="0" fontId="157" fillId="0" borderId="45" xfId="2379" applyFont="1" applyBorder="1" applyAlignment="1">
      <alignment horizontal="center" vertical="center"/>
    </xf>
    <xf numFmtId="0" fontId="157" fillId="0" borderId="98" xfId="2379" applyFont="1" applyBorder="1" applyAlignment="1">
      <alignment horizontal="center" vertical="center"/>
    </xf>
    <xf numFmtId="0" fontId="157" fillId="0" borderId="36" xfId="2379" applyFont="1" applyBorder="1" applyAlignment="1">
      <alignment horizontal="center" vertical="center" wrapText="1"/>
    </xf>
    <xf numFmtId="49" fontId="157" fillId="0" borderId="36" xfId="2379" applyNumberFormat="1" applyFont="1" applyBorder="1" applyAlignment="1">
      <alignment horizontal="center" vertical="center"/>
    </xf>
    <xf numFmtId="0" fontId="157" fillId="0" borderId="36" xfId="2379" applyFont="1" applyBorder="1" applyAlignment="1">
      <alignment horizontal="center" vertical="center"/>
    </xf>
    <xf numFmtId="189" fontId="157" fillId="0" borderId="36" xfId="2338" applyNumberFormat="1" applyFont="1" applyFill="1" applyBorder="1" applyAlignment="1">
      <alignment horizontal="center" vertical="center"/>
    </xf>
    <xf numFmtId="189" fontId="157" fillId="0" borderId="99" xfId="2338" applyNumberFormat="1" applyFont="1" applyFill="1" applyBorder="1" applyAlignment="1">
      <alignment horizontal="center" vertical="center"/>
    </xf>
    <xf numFmtId="0" fontId="158" fillId="0" borderId="98" xfId="0" applyFont="1" applyBorder="1" applyAlignment="1">
      <alignment horizontal="left" vertical="center"/>
    </xf>
    <xf numFmtId="0" fontId="158" fillId="0" borderId="36" xfId="0" applyFont="1" applyBorder="1" applyAlignment="1">
      <alignment horizontal="left" vertical="center"/>
    </xf>
    <xf numFmtId="0" fontId="157" fillId="0" borderId="36" xfId="0" applyFont="1" applyBorder="1" applyAlignment="1">
      <alignment horizontal="center" vertical="center"/>
    </xf>
    <xf numFmtId="0" fontId="157" fillId="0" borderId="36" xfId="0" applyFont="1" applyBorder="1" applyAlignment="1">
      <alignment horizontal="right" vertical="center"/>
    </xf>
    <xf numFmtId="189" fontId="157" fillId="0" borderId="36" xfId="2338" applyNumberFormat="1" applyFont="1" applyFill="1" applyBorder="1" applyAlignment="1">
      <alignment horizontal="right" vertical="center"/>
    </xf>
    <xf numFmtId="0" fontId="157" fillId="0" borderId="99" xfId="0" applyFont="1" applyBorder="1" applyAlignment="1">
      <alignment horizontal="right" vertical="center"/>
    </xf>
    <xf numFmtId="186" fontId="157" fillId="0" borderId="26" xfId="2338" applyNumberFormat="1" applyFont="1" applyFill="1" applyBorder="1" applyAlignment="1">
      <alignment horizontal="right" vertical="center"/>
    </xf>
    <xf numFmtId="186" fontId="157" fillId="0" borderId="0" xfId="2379" applyNumberFormat="1" applyFont="1" applyAlignment="1">
      <alignment vertical="center"/>
    </xf>
    <xf numFmtId="0" fontId="158" fillId="0" borderId="98" xfId="0" applyFont="1" applyBorder="1" applyAlignment="1">
      <alignment horizontal="center" vertical="center"/>
    </xf>
    <xf numFmtId="0" fontId="158" fillId="0" borderId="36" xfId="0" applyFont="1" applyBorder="1" applyAlignment="1">
      <alignment vertical="center" wrapText="1"/>
    </xf>
    <xf numFmtId="49" fontId="158" fillId="30" borderId="98" xfId="2645" applyNumberFormat="1" applyFont="1" applyFill="1" applyBorder="1" applyAlignment="1">
      <alignment horizontal="center" vertical="center"/>
    </xf>
    <xf numFmtId="0" fontId="158" fillId="30" borderId="36" xfId="2645" applyFont="1" applyFill="1" applyBorder="1" applyAlignment="1">
      <alignment vertical="center" wrapText="1"/>
    </xf>
    <xf numFmtId="0" fontId="158" fillId="30" borderId="36" xfId="2645" applyFont="1" applyFill="1" applyBorder="1" applyAlignment="1">
      <alignment horizontal="center" vertical="center"/>
    </xf>
    <xf numFmtId="3" fontId="158" fillId="30" borderId="36" xfId="2645" applyNumberFormat="1" applyFont="1" applyFill="1" applyBorder="1" applyAlignment="1">
      <alignment horizontal="center" vertical="center"/>
    </xf>
    <xf numFmtId="0" fontId="157" fillId="30" borderId="36" xfId="0" applyFont="1" applyFill="1" applyBorder="1" applyAlignment="1">
      <alignment horizontal="right" vertical="center"/>
    </xf>
    <xf numFmtId="189" fontId="157" fillId="30" borderId="36" xfId="2338" applyNumberFormat="1" applyFont="1" applyFill="1" applyBorder="1" applyAlignment="1">
      <alignment horizontal="right" vertical="center"/>
    </xf>
    <xf numFmtId="186" fontId="158" fillId="30" borderId="36" xfId="0" applyNumberFormat="1" applyFont="1" applyFill="1" applyBorder="1" applyAlignment="1">
      <alignment horizontal="right" vertical="center"/>
    </xf>
    <xf numFmtId="186" fontId="158" fillId="30" borderId="99" xfId="0" applyNumberFormat="1" applyFont="1" applyFill="1" applyBorder="1" applyAlignment="1">
      <alignment horizontal="right" vertical="center"/>
    </xf>
    <xf numFmtId="49" fontId="157" fillId="0" borderId="98" xfId="2645" applyNumberFormat="1" applyFont="1" applyBorder="1" applyAlignment="1">
      <alignment horizontal="center" vertical="center"/>
    </xf>
    <xf numFmtId="0" fontId="157" fillId="0" borderId="36" xfId="2377" applyFont="1" applyBorder="1" applyAlignment="1">
      <alignment vertical="center" wrapText="1"/>
    </xf>
    <xf numFmtId="0" fontId="157" fillId="0" borderId="36" xfId="2377" applyFont="1" applyBorder="1" applyAlignment="1">
      <alignment horizontal="center" vertical="center"/>
    </xf>
    <xf numFmtId="178" fontId="157" fillId="0" borderId="36" xfId="2645" applyNumberFormat="1" applyFont="1" applyBorder="1" applyAlignment="1">
      <alignment horizontal="center" vertical="center"/>
    </xf>
    <xf numFmtId="189" fontId="157" fillId="0" borderId="99" xfId="2338" applyNumberFormat="1" applyFont="1" applyFill="1" applyBorder="1" applyAlignment="1">
      <alignment horizontal="right" vertical="center"/>
    </xf>
    <xf numFmtId="178" fontId="157" fillId="0" borderId="105" xfId="2645" applyNumberFormat="1" applyFont="1" applyBorder="1" applyAlignment="1">
      <alignment horizontal="center" vertical="center"/>
    </xf>
    <xf numFmtId="0" fontId="157" fillId="0" borderId="0" xfId="2379" applyFont="1" applyAlignment="1">
      <alignment horizontal="right"/>
    </xf>
    <xf numFmtId="0" fontId="157" fillId="0" borderId="40" xfId="2377" applyFont="1" applyBorder="1" applyAlignment="1">
      <alignment horizontal="center" vertical="center"/>
    </xf>
    <xf numFmtId="178" fontId="157" fillId="0" borderId="105" xfId="2645" applyNumberFormat="1" applyFont="1" applyBorder="1" applyAlignment="1">
      <alignment horizontal="center" vertical="center" wrapText="1"/>
    </xf>
    <xf numFmtId="186" fontId="157" fillId="0" borderId="39" xfId="2338" applyNumberFormat="1" applyFont="1" applyFill="1" applyBorder="1" applyAlignment="1">
      <alignment horizontal="right" vertical="center"/>
    </xf>
    <xf numFmtId="178" fontId="157" fillId="0" borderId="83" xfId="2645" applyNumberFormat="1" applyFont="1" applyBorder="1" applyAlignment="1">
      <alignment horizontal="center" vertical="center" wrapText="1"/>
    </xf>
    <xf numFmtId="178" fontId="157" fillId="0" borderId="88" xfId="2645" applyNumberFormat="1" applyFont="1" applyBorder="1" applyAlignment="1">
      <alignment horizontal="center" vertical="center"/>
    </xf>
    <xf numFmtId="0" fontId="158" fillId="0" borderId="0" xfId="2379" applyFont="1" applyAlignment="1">
      <alignment vertical="center"/>
    </xf>
    <xf numFmtId="49" fontId="158" fillId="0" borderId="98" xfId="2645" applyNumberFormat="1" applyFont="1" applyBorder="1" applyAlignment="1">
      <alignment horizontal="center" vertical="center"/>
    </xf>
    <xf numFmtId="0" fontId="158" fillId="0" borderId="36" xfId="2377" applyFont="1" applyBorder="1" applyAlignment="1">
      <alignment vertical="center" wrapText="1"/>
    </xf>
    <xf numFmtId="0" fontId="158" fillId="30" borderId="36" xfId="2377" applyFont="1" applyFill="1" applyBorder="1" applyAlignment="1">
      <alignment vertical="center" wrapText="1"/>
    </xf>
    <xf numFmtId="0" fontId="158" fillId="30" borderId="36" xfId="2377" applyFont="1" applyFill="1" applyBorder="1" applyAlignment="1">
      <alignment horizontal="center" vertical="center"/>
    </xf>
    <xf numFmtId="186" fontId="158" fillId="30" borderId="36" xfId="2338" applyNumberFormat="1" applyFont="1" applyFill="1" applyBorder="1" applyAlignment="1">
      <alignment horizontal="right" vertical="center"/>
    </xf>
    <xf numFmtId="3" fontId="157" fillId="0" borderId="36" xfId="2645" applyNumberFormat="1" applyFont="1" applyBorder="1" applyAlignment="1">
      <alignment horizontal="center" vertical="center"/>
    </xf>
    <xf numFmtId="0" fontId="157" fillId="0" borderId="36" xfId="2645" applyFont="1" applyBorder="1" applyAlignment="1">
      <alignment vertical="center" wrapText="1"/>
    </xf>
    <xf numFmtId="1" fontId="157" fillId="0" borderId="36" xfId="0" applyNumberFormat="1" applyFont="1" applyBorder="1" applyAlignment="1">
      <alignment horizontal="center" vertical="center"/>
    </xf>
    <xf numFmtId="186" fontId="157" fillId="0" borderId="99" xfId="2338" applyNumberFormat="1" applyFont="1" applyFill="1" applyBorder="1" applyAlignment="1">
      <alignment horizontal="right" vertical="center"/>
    </xf>
    <xf numFmtId="0" fontId="158" fillId="30" borderId="98" xfId="0" applyFont="1" applyFill="1" applyBorder="1" applyAlignment="1">
      <alignment horizontal="center" vertical="center"/>
    </xf>
    <xf numFmtId="0" fontId="158" fillId="30" borderId="36" xfId="0" applyFont="1" applyFill="1" applyBorder="1" applyAlignment="1">
      <alignment vertical="center" wrapText="1"/>
    </xf>
    <xf numFmtId="0" fontId="157" fillId="30" borderId="36" xfId="0" applyFont="1" applyFill="1" applyBorder="1" applyAlignment="1">
      <alignment horizontal="center" vertical="center"/>
    </xf>
    <xf numFmtId="3" fontId="158" fillId="30" borderId="36" xfId="0" applyNumberFormat="1" applyFont="1" applyFill="1" applyBorder="1" applyAlignment="1">
      <alignment horizontal="center" vertical="center"/>
    </xf>
    <xf numFmtId="186" fontId="157" fillId="30" borderId="36" xfId="2338" applyNumberFormat="1" applyFont="1" applyFill="1" applyBorder="1" applyAlignment="1">
      <alignment horizontal="right" vertical="center"/>
    </xf>
    <xf numFmtId="0" fontId="157" fillId="0" borderId="98" xfId="0" applyFont="1" applyBorder="1" applyAlignment="1">
      <alignment horizontal="center" vertical="center"/>
    </xf>
    <xf numFmtId="0" fontId="157" fillId="0" borderId="36" xfId="0" applyFont="1" applyBorder="1" applyAlignment="1">
      <alignment vertical="center" wrapText="1"/>
    </xf>
    <xf numFmtId="186" fontId="157" fillId="36" borderId="36" xfId="2338" applyNumberFormat="1" applyFont="1" applyFill="1" applyBorder="1" applyAlignment="1">
      <alignment horizontal="right" vertical="center"/>
    </xf>
    <xf numFmtId="0" fontId="157" fillId="0" borderId="36" xfId="0" applyFont="1" applyBorder="1" applyAlignment="1">
      <alignment horizontal="justify" vertical="center" wrapText="1"/>
    </xf>
    <xf numFmtId="250" fontId="157" fillId="0" borderId="36" xfId="0" applyNumberFormat="1" applyFont="1" applyBorder="1" applyAlignment="1">
      <alignment horizontal="center" vertical="center"/>
    </xf>
    <xf numFmtId="3" fontId="157" fillId="0" borderId="36" xfId="0" applyNumberFormat="1" applyFont="1" applyBorder="1" applyAlignment="1">
      <alignment horizontal="center" vertical="center"/>
    </xf>
    <xf numFmtId="0" fontId="157" fillId="0" borderId="98" xfId="0" quotePrefix="1" applyFont="1" applyBorder="1" applyAlignment="1">
      <alignment horizontal="center" vertical="center"/>
    </xf>
    <xf numFmtId="0" fontId="157" fillId="31" borderId="98" xfId="0" applyFont="1" applyFill="1" applyBorder="1" applyAlignment="1">
      <alignment horizontal="center" vertical="center"/>
    </xf>
    <xf numFmtId="0" fontId="157" fillId="31" borderId="36" xfId="2646" applyFont="1" applyFill="1" applyBorder="1" applyAlignment="1">
      <alignment vertical="center" wrapText="1"/>
    </xf>
    <xf numFmtId="0" fontId="157" fillId="31" borderId="36" xfId="2646" applyFont="1" applyFill="1" applyBorder="1" applyAlignment="1">
      <alignment horizontal="center" vertical="center"/>
    </xf>
    <xf numFmtId="1" fontId="157" fillId="31" borderId="36" xfId="2646" applyNumberFormat="1" applyFont="1" applyFill="1" applyBorder="1" applyAlignment="1">
      <alignment horizontal="center" vertical="center"/>
    </xf>
    <xf numFmtId="0" fontId="157" fillId="31" borderId="36" xfId="0" applyFont="1" applyFill="1" applyBorder="1" applyAlignment="1">
      <alignment horizontal="right" vertical="center"/>
    </xf>
    <xf numFmtId="186" fontId="157" fillId="31" borderId="36" xfId="2338" applyNumberFormat="1" applyFont="1" applyFill="1" applyBorder="1" applyAlignment="1">
      <alignment horizontal="right" vertical="center"/>
    </xf>
    <xf numFmtId="189" fontId="157" fillId="31" borderId="36" xfId="2338" applyNumberFormat="1" applyFont="1" applyFill="1" applyBorder="1" applyAlignment="1">
      <alignment horizontal="right" vertical="center"/>
    </xf>
    <xf numFmtId="186" fontId="157" fillId="31" borderId="36" xfId="0" applyNumberFormat="1" applyFont="1" applyFill="1" applyBorder="1" applyAlignment="1">
      <alignment horizontal="right" vertical="center"/>
    </xf>
    <xf numFmtId="186" fontId="157" fillId="31" borderId="36" xfId="2379" applyNumberFormat="1" applyFont="1" applyFill="1" applyBorder="1" applyAlignment="1">
      <alignment horizontal="right" vertical="center"/>
    </xf>
    <xf numFmtId="186" fontId="157" fillId="31" borderId="99" xfId="0" applyNumberFormat="1" applyFont="1" applyFill="1" applyBorder="1" applyAlignment="1">
      <alignment horizontal="right" vertical="center"/>
    </xf>
    <xf numFmtId="0" fontId="157" fillId="31" borderId="0" xfId="2379" applyFont="1" applyFill="1" applyAlignment="1">
      <alignment vertical="center"/>
    </xf>
    <xf numFmtId="0" fontId="157" fillId="31" borderId="36" xfId="0" applyFont="1" applyFill="1" applyBorder="1" applyAlignment="1">
      <alignment vertical="center" wrapText="1"/>
    </xf>
    <xf numFmtId="0" fontId="157" fillId="31" borderId="36" xfId="0" applyFont="1" applyFill="1" applyBorder="1" applyAlignment="1">
      <alignment horizontal="center" vertical="center"/>
    </xf>
    <xf numFmtId="0" fontId="157" fillId="31" borderId="98" xfId="0" quotePrefix="1" applyFont="1" applyFill="1" applyBorder="1" applyAlignment="1">
      <alignment horizontal="center" vertical="center"/>
    </xf>
    <xf numFmtId="0" fontId="157" fillId="31" borderId="36" xfId="0" applyFont="1" applyFill="1" applyBorder="1" applyAlignment="1">
      <alignment horizontal="left" vertical="center" wrapText="1"/>
    </xf>
    <xf numFmtId="3" fontId="157" fillId="31" borderId="36" xfId="0" applyNumberFormat="1" applyFont="1" applyFill="1" applyBorder="1" applyAlignment="1">
      <alignment horizontal="center" vertical="center"/>
    </xf>
    <xf numFmtId="1" fontId="157" fillId="31" borderId="36" xfId="0" applyNumberFormat="1" applyFont="1" applyFill="1" applyBorder="1" applyAlignment="1">
      <alignment horizontal="center" vertical="center"/>
    </xf>
    <xf numFmtId="2" fontId="157" fillId="0" borderId="98" xfId="0" applyNumberFormat="1" applyFont="1" applyBorder="1" applyAlignment="1">
      <alignment horizontal="center" vertical="center" wrapText="1"/>
    </xf>
    <xf numFmtId="0" fontId="157" fillId="0" borderId="36" xfId="2647" applyFont="1" applyBorder="1" applyAlignment="1">
      <alignment horizontal="left" vertical="center" wrapText="1"/>
    </xf>
    <xf numFmtId="0" fontId="157" fillId="0" borderId="36" xfId="2378" applyFont="1" applyBorder="1" applyAlignment="1">
      <alignment horizontal="center" vertical="center"/>
    </xf>
    <xf numFmtId="186" fontId="157" fillId="0" borderId="36" xfId="2379" applyNumberFormat="1" applyFont="1" applyBorder="1" applyAlignment="1">
      <alignment horizontal="right" vertical="center"/>
    </xf>
    <xf numFmtId="0" fontId="157" fillId="0" borderId="36" xfId="2646" applyFont="1" applyBorder="1" applyAlignment="1">
      <alignment vertical="center" wrapText="1"/>
    </xf>
    <xf numFmtId="0" fontId="157" fillId="0" borderId="36" xfId="2646" applyFont="1" applyBorder="1" applyAlignment="1">
      <alignment horizontal="center" vertical="center"/>
    </xf>
    <xf numFmtId="1" fontId="157" fillId="0" borderId="36" xfId="2646" applyNumberFormat="1" applyFont="1" applyBorder="1" applyAlignment="1">
      <alignment horizontal="center" vertical="center"/>
    </xf>
    <xf numFmtId="251" fontId="157" fillId="0" borderId="0" xfId="2379" applyNumberFormat="1" applyFont="1" applyAlignment="1">
      <alignment vertical="center"/>
    </xf>
    <xf numFmtId="0" fontId="157" fillId="0" borderId="36" xfId="0" applyFont="1" applyBorder="1" applyAlignment="1">
      <alignment horizontal="left" vertical="center" wrapText="1"/>
    </xf>
    <xf numFmtId="3" fontId="157" fillId="0" borderId="36" xfId="2647" applyNumberFormat="1" applyFont="1" applyBorder="1" applyAlignment="1">
      <alignment horizontal="right" vertical="center"/>
    </xf>
    <xf numFmtId="186" fontId="158" fillId="0" borderId="36" xfId="0" applyNumberFormat="1" applyFont="1" applyBorder="1" applyAlignment="1">
      <alignment horizontal="right" vertical="center"/>
    </xf>
    <xf numFmtId="49" fontId="158" fillId="31" borderId="98" xfId="2645" applyNumberFormat="1" applyFont="1" applyFill="1" applyBorder="1" applyAlignment="1">
      <alignment horizontal="center" vertical="center"/>
    </xf>
    <xf numFmtId="0" fontId="158" fillId="31" borderId="36" xfId="2645" applyFont="1" applyFill="1" applyBorder="1" applyAlignment="1">
      <alignment vertical="center" wrapText="1"/>
    </xf>
    <xf numFmtId="186" fontId="158" fillId="31" borderId="36" xfId="2338" applyNumberFormat="1" applyFont="1" applyFill="1" applyBorder="1" applyAlignment="1">
      <alignment horizontal="right" vertical="center"/>
    </xf>
    <xf numFmtId="186" fontId="158" fillId="31" borderId="99" xfId="0" applyNumberFormat="1" applyFont="1" applyFill="1" applyBorder="1" applyAlignment="1">
      <alignment horizontal="right" vertical="center"/>
    </xf>
    <xf numFmtId="186" fontId="157" fillId="31" borderId="36" xfId="0" applyNumberFormat="1" applyFont="1" applyFill="1" applyBorder="1" applyAlignment="1">
      <alignment horizontal="center" vertical="center"/>
    </xf>
    <xf numFmtId="0" fontId="158" fillId="30" borderId="36" xfId="0" applyFont="1" applyFill="1" applyBorder="1" applyAlignment="1">
      <alignment horizontal="center" vertical="center"/>
    </xf>
    <xf numFmtId="186" fontId="157" fillId="0" borderId="0" xfId="0" applyNumberFormat="1" applyFont="1" applyAlignment="1">
      <alignment horizontal="center" vertical="center"/>
    </xf>
    <xf numFmtId="0" fontId="157" fillId="0" borderId="36" xfId="0" applyFont="1" applyBorder="1" applyAlignment="1">
      <alignment horizontal="center" vertical="center"/>
    </xf>
    <xf numFmtId="0" fontId="157" fillId="0" borderId="36" xfId="0" applyFont="1" applyBorder="1" applyAlignment="1">
      <alignment vertical="center"/>
    </xf>
    <xf numFmtId="49" fontId="157" fillId="0" borderId="98" xfId="4094" applyNumberFormat="1" applyFont="1" applyBorder="1" applyAlignment="1">
      <alignment horizontal="center" vertical="center"/>
    </xf>
    <xf numFmtId="3" fontId="157" fillId="0" borderId="36" xfId="4095" applyNumberFormat="1" applyFont="1" applyBorder="1" applyAlignment="1" applyProtection="1">
      <alignment vertical="center" wrapText="1"/>
      <protection locked="0"/>
    </xf>
    <xf numFmtId="0" fontId="157" fillId="0" borderId="36" xfId="4094" applyFont="1" applyBorder="1" applyAlignment="1">
      <alignment horizontal="center" vertical="center"/>
    </xf>
    <xf numFmtId="3" fontId="157" fillId="0" borderId="36" xfId="4094" applyNumberFormat="1" applyFont="1" applyBorder="1" applyAlignment="1">
      <alignment horizontal="center" vertical="center"/>
    </xf>
    <xf numFmtId="3" fontId="157" fillId="0" borderId="36" xfId="4094" applyNumberFormat="1" applyFont="1" applyBorder="1" applyAlignment="1">
      <alignment horizontal="right" vertical="center"/>
    </xf>
    <xf numFmtId="3" fontId="157" fillId="0" borderId="36" xfId="0" applyNumberFormat="1" applyFont="1" applyBorder="1" applyAlignment="1">
      <alignment horizontal="right" vertical="center"/>
    </xf>
    <xf numFmtId="49" fontId="157" fillId="0" borderId="98" xfId="2377" quotePrefix="1" applyNumberFormat="1" applyFont="1" applyBorder="1" applyAlignment="1">
      <alignment horizontal="center" vertical="center"/>
    </xf>
    <xf numFmtId="0" fontId="157" fillId="0" borderId="36" xfId="4094" applyFont="1" applyBorder="1" applyAlignment="1">
      <alignment vertical="center" wrapText="1"/>
    </xf>
    <xf numFmtId="3" fontId="157" fillId="0" borderId="36" xfId="2379" applyNumberFormat="1" applyFont="1" applyBorder="1" applyAlignment="1">
      <alignment horizontal="right" vertical="center"/>
    </xf>
    <xf numFmtId="0" fontId="157" fillId="0" borderId="36" xfId="2645" applyFont="1" applyBorder="1" applyAlignment="1">
      <alignment horizontal="center" vertical="center"/>
    </xf>
    <xf numFmtId="3" fontId="157" fillId="0" borderId="36" xfId="2645" applyNumberFormat="1" applyFont="1" applyBorder="1" applyAlignment="1">
      <alignment horizontal="right" vertical="center"/>
    </xf>
    <xf numFmtId="49" fontId="157" fillId="0" borderId="98" xfId="0" applyNumberFormat="1" applyFont="1" applyBorder="1" applyAlignment="1">
      <alignment horizontal="center" vertical="center"/>
    </xf>
    <xf numFmtId="1" fontId="157" fillId="0" borderId="36" xfId="0" applyNumberFormat="1" applyFont="1" applyBorder="1" applyAlignment="1">
      <alignment vertical="center" wrapText="1"/>
    </xf>
    <xf numFmtId="0" fontId="158" fillId="0" borderId="36" xfId="0" applyFont="1" applyBorder="1" applyAlignment="1">
      <alignment horizontal="right" vertical="center"/>
    </xf>
    <xf numFmtId="3" fontId="158" fillId="0" borderId="36" xfId="2379" applyNumberFormat="1" applyFont="1" applyBorder="1" applyAlignment="1">
      <alignment horizontal="right" vertical="center"/>
    </xf>
    <xf numFmtId="186" fontId="158" fillId="0" borderId="36" xfId="2338" applyNumberFormat="1" applyFont="1" applyFill="1" applyBorder="1" applyAlignment="1">
      <alignment horizontal="right" vertical="center"/>
    </xf>
    <xf numFmtId="186" fontId="158" fillId="0" borderId="99" xfId="2338" applyNumberFormat="1" applyFont="1" applyFill="1" applyBorder="1" applyAlignment="1">
      <alignment horizontal="right" vertical="center"/>
    </xf>
    <xf numFmtId="0" fontId="158" fillId="0" borderId="36" xfId="2645" applyFont="1" applyBorder="1" applyAlignment="1">
      <alignment vertical="center" wrapText="1"/>
    </xf>
    <xf numFmtId="0" fontId="160" fillId="0" borderId="0" xfId="0" applyFont="1" applyAlignment="1">
      <alignment vertical="center"/>
    </xf>
    <xf numFmtId="0" fontId="160" fillId="0" borderId="0" xfId="0" applyFont="1" applyAlignment="1">
      <alignment horizontal="right" vertical="center"/>
    </xf>
    <xf numFmtId="253" fontId="157" fillId="31" borderId="36" xfId="0" applyNumberFormat="1" applyFont="1" applyFill="1" applyBorder="1" applyAlignment="1">
      <alignment horizontal="center" vertical="center"/>
    </xf>
  </cellXfs>
  <cellStyles count="4104">
    <cellStyle name="_x0001_" xfId="1" xr:uid="{00000000-0005-0000-0000-000000000000}"/>
    <cellStyle name="??" xfId="2" xr:uid="{00000000-0005-0000-0000-000001000000}"/>
    <cellStyle name="?? [0.00]_List-dwg" xfId="3" xr:uid="{00000000-0005-0000-0000-000002000000}"/>
    <cellStyle name="?? [0]" xfId="4" xr:uid="{00000000-0005-0000-0000-000003000000}"/>
    <cellStyle name="?? [0] 1" xfId="5" xr:uid="{00000000-0005-0000-0000-000004000000}"/>
    <cellStyle name="???? [0.00]_List-dwg" xfId="6" xr:uid="{00000000-0005-0000-0000-000005000000}"/>
    <cellStyle name="????_List-dwg" xfId="7" xr:uid="{00000000-0005-0000-0000-000006000000}"/>
    <cellStyle name="???[0]_Book1" xfId="8" xr:uid="{00000000-0005-0000-0000-000007000000}"/>
    <cellStyle name="???_95" xfId="9" xr:uid="{00000000-0005-0000-0000-000008000000}"/>
    <cellStyle name="?_x0010__x0001_??Pr" xfId="10" xr:uid="{00000000-0005-0000-0000-000009000000}"/>
    <cellStyle name="?_x0010__x0001_??Pr 2" xfId="11" xr:uid="{00000000-0005-0000-0000-00000A000000}"/>
    <cellStyle name="?_x0010__x0001_??Pr 2 2" xfId="2697" xr:uid="{00000000-0005-0000-0000-00000B000000}"/>
    <cellStyle name="?_x0010__x0001_??Pr 3" xfId="12" xr:uid="{00000000-0005-0000-0000-00000C000000}"/>
    <cellStyle name="?_x0010__x0001_??Pr_6.BANG CHI TIET" xfId="13" xr:uid="{00000000-0005-0000-0000-00000D000000}"/>
    <cellStyle name="??_ ??? ???? " xfId="14" xr:uid="{00000000-0005-0000-0000-00000E000000}"/>
    <cellStyle name="??9JS—_x0008_??????????????????H_x0001_????&lt;i·0??????????_x0007_?_x0010__x0001_??Thongso??9JS—_x0008_??????????????????‚_x0001_?" xfId="15" xr:uid="{00000000-0005-0000-0000-00000F000000}"/>
    <cellStyle name="??9JS—_x0008_??????????????????H_x0001_????&lt;i·0??????????_x0007_?_x0010__x0001_??Thongso??9JS—_x0008_??????????????????‚_x0001_? 2" xfId="3814" xr:uid="{00000000-0005-0000-0000-000010000000}"/>
    <cellStyle name="_x0001_??Thanh_phan?9š" xfId="16" xr:uid="{00000000-0005-0000-0000-000011000000}"/>
    <cellStyle name="?Sums?9^R—_x0008_????????????????????N_x0004__x0002__x0003_1?_x0014_" xfId="17" xr:uid="{00000000-0005-0000-0000-000012000000}"/>
    <cellStyle name="?Sums?9^R—_x0008_????????????????????N_x0004__x0002__x0003_1?_x0014_ 2" xfId="3815" xr:uid="{00000000-0005-0000-0000-000013000000}"/>
    <cellStyle name="_06 Muoi Tri Hai" xfId="18" xr:uid="{00000000-0005-0000-0000-000014000000}"/>
    <cellStyle name="_06-scl-PHUOC HAI.HIEU CHINH-lan 2-09-12-05xls" xfId="19" xr:uid="{00000000-0005-0000-0000-000015000000}"/>
    <cellStyle name="_07-PHUOC HA.XLS-1" xfId="20" xr:uid="{00000000-0005-0000-0000-000016000000}"/>
    <cellStyle name="_07-PHUOC HA.XLS-1_Song tra-750-tram nen" xfId="21" xr:uid="{00000000-0005-0000-0000-000017000000}"/>
    <cellStyle name="_07-PHUOC HA.XLS-1_Song tra-750-tram nen 2" xfId="2698" xr:uid="{00000000-0005-0000-0000-000018000000}"/>
    <cellStyle name="_07-scl ninh hai 31-05" xfId="3816" xr:uid="{00000000-0005-0000-0000-000019000000}"/>
    <cellStyle name="_BANG SO SANH NHAN CONG SC MBA DUYET" xfId="22" xr:uid="{00000000-0005-0000-0000-00001A000000}"/>
    <cellStyle name="_Bao cao sau thang cuoi nam 2006" xfId="3817" xr:uid="{00000000-0005-0000-0000-00001B000000}"/>
    <cellStyle name="_Baocaosauthancuoinam0605" xfId="3818" xr:uid="{00000000-0005-0000-0000-00001C000000}"/>
    <cellStyle name="_Book1" xfId="23" xr:uid="{00000000-0005-0000-0000-00001D000000}"/>
    <cellStyle name="_Book1_06 Muoi Tri Hai" xfId="24" xr:uid="{00000000-0005-0000-0000-00001E000000}"/>
    <cellStyle name="_Book1_06 Thuy san Ninh Phuoc (luu 21-06)" xfId="25" xr:uid="{00000000-0005-0000-0000-00001F000000}"/>
    <cellStyle name="_Book1_07-PHUOC HA.XLS-1" xfId="26" xr:uid="{00000000-0005-0000-0000-000020000000}"/>
    <cellStyle name="_Book1_07-PHUOC HA.XLS-1_Song tra-750-tram nen" xfId="27" xr:uid="{00000000-0005-0000-0000-000021000000}"/>
    <cellStyle name="_Book1_07-PHUOC HA.XLS-1_Song tra-750-tram nen 2" xfId="2699" xr:uid="{00000000-0005-0000-0000-000022000000}"/>
    <cellStyle name="_Book1_1" xfId="28" xr:uid="{00000000-0005-0000-0000-000023000000}"/>
    <cellStyle name="_Book1_1_DT Ngoc Ha" xfId="29" xr:uid="{00000000-0005-0000-0000-000024000000}"/>
    <cellStyle name="_Book1_1_DT Ngoc Ha_Song tra-750-tram nen" xfId="30" xr:uid="{00000000-0005-0000-0000-000025000000}"/>
    <cellStyle name="_Book1_1_DT Ngoc Ha_Song tra-750-tram nen 2" xfId="2700" xr:uid="{00000000-0005-0000-0000-000026000000}"/>
    <cellStyle name="_Book1_1_SO TRU TRUNG AP SCL GUI ANH PHUONG" xfId="3819" xr:uid="{00000000-0005-0000-0000-000027000000}"/>
    <cellStyle name="_Book1_1_Song tra-750-tram nen" xfId="31" xr:uid="{00000000-0005-0000-0000-000028000000}"/>
    <cellStyle name="_Book1_2" xfId="32" xr:uid="{00000000-0005-0000-0000-000029000000}"/>
    <cellStyle name="_Book1_6.BANG CHI TIET" xfId="33" xr:uid="{00000000-0005-0000-0000-00002A000000}"/>
    <cellStyle name="_Book1_BAO TRO XH-DU TOAN" xfId="34" xr:uid="{00000000-0005-0000-0000-00002B000000}"/>
    <cellStyle name="_Book1_BC-QT-WB-dthao" xfId="35" xr:uid="{00000000-0005-0000-0000-00002C000000}"/>
    <cellStyle name="_Book1_BC-QT-WB-dthao_06 Thuy san Ninh Phuoc (luu 21-06)" xfId="36" xr:uid="{00000000-0005-0000-0000-00002D000000}"/>
    <cellStyle name="_Book1_BC-QT-WB-dthao_BAO TRO XH-DU TOAN" xfId="37" xr:uid="{00000000-0005-0000-0000-00002E000000}"/>
    <cellStyle name="_Book1_BC-QT-WB-dthao_BD" xfId="38" xr:uid="{00000000-0005-0000-0000-00002F000000}"/>
    <cellStyle name="_Book1_BC-QT-WB-dthao_DI DOI TRUONG LE QUY DON-HC HOAN CONG" xfId="39" xr:uid="{00000000-0005-0000-0000-000030000000}"/>
    <cellStyle name="_Book1_BC-QT-WB-dthao_DUONG DOI TAN HOI-NEW 21-8-2006" xfId="40" xr:uid="{00000000-0005-0000-0000-000031000000}"/>
    <cellStyle name="_Book1_BC-QT-WB-dthao_DUONG DOI THI XA-THU HOI-HC 2-3-07 xls" xfId="41" xr:uid="{00000000-0005-0000-0000-000032000000}"/>
    <cellStyle name="_Book1_BC-QT-WB-dthao_DUONG DOI THI XA-THU HOI-HC 2-3-07 xls_Song tra-750-tram nen" xfId="42" xr:uid="{00000000-0005-0000-0000-000033000000}"/>
    <cellStyle name="_Book1_BC-QT-WB-dthao_DUONG DOI THI XA-THU HOI-HC 2-3-07 xls_Song tra-750-tram nen 2" xfId="2701" xr:uid="{00000000-0005-0000-0000-000034000000}"/>
    <cellStyle name="_Book1_BC-QT-WB-dthao_Gia cuoc van chuyen" xfId="43" xr:uid="{00000000-0005-0000-0000-000035000000}"/>
    <cellStyle name="_Book1_BC-QT-WB-dthao_Khu dan cu SO 2(TK BV-TC)-1" xfId="44" xr:uid="{00000000-0005-0000-0000-000036000000}"/>
    <cellStyle name="_Book1_BC-QT-WB-dthao_KHU DAN CU SUOI VANG" xfId="45" xr:uid="{00000000-0005-0000-0000-000037000000}"/>
    <cellStyle name="_Book1_BC-QT-WB-dthao_Khu TDC Phuoc Trung" xfId="46" xr:uid="{00000000-0005-0000-0000-000038000000}"/>
    <cellStyle name="_Book1_BC-QT-WB-dthao_Pham Van Thanh" xfId="47" xr:uid="{00000000-0005-0000-0000-000039000000}"/>
    <cellStyle name="_Book1_BC-QT-WB-dthao_Phuoc My Giai Doan 3-gia moi-14-10-uni" xfId="48" xr:uid="{00000000-0005-0000-0000-00003A000000}"/>
    <cellStyle name="_Book1_BC-QT-WB-dthao_Song tra-750-tram nen" xfId="49" xr:uid="{00000000-0005-0000-0000-00003B000000}"/>
    <cellStyle name="_Book1_BC-QT-WB-dthao_Song tra-750-tram nen 2" xfId="2702" xr:uid="{00000000-0005-0000-0000-00003C000000}"/>
    <cellStyle name="_Book1_BC-QT-WB-dthao_Thuan Bac-sua lai" xfId="50" xr:uid="{00000000-0005-0000-0000-00003D000000}"/>
    <cellStyle name="_Book1_BC-QT-WB-dthao_VKim" xfId="51" xr:uid="{00000000-0005-0000-0000-00003E000000}"/>
    <cellStyle name="_Book1_BD" xfId="52" xr:uid="{00000000-0005-0000-0000-00003F000000}"/>
    <cellStyle name="_Book1_Book1" xfId="53" xr:uid="{00000000-0005-0000-0000-000040000000}"/>
    <cellStyle name="_Book1_Book1_06 Thuy san Ninh Phuoc (luu 21-06)" xfId="54" xr:uid="{00000000-0005-0000-0000-000041000000}"/>
    <cellStyle name="_Book1_Book1_1" xfId="55" xr:uid="{00000000-0005-0000-0000-000042000000}"/>
    <cellStyle name="_Book1_Book1_1_06 Thuy san Ninh Phuoc (luu 21-06)" xfId="56" xr:uid="{00000000-0005-0000-0000-000043000000}"/>
    <cellStyle name="_Book1_Book1_1_BAO TRO XH-DU TOAN" xfId="57" xr:uid="{00000000-0005-0000-0000-000044000000}"/>
    <cellStyle name="_Book1_Book1_1_BD" xfId="58" xr:uid="{00000000-0005-0000-0000-000045000000}"/>
    <cellStyle name="_Book1_Book1_1_DI DOI TRUONG LE QUY DON-HC HOAN CONG" xfId="59" xr:uid="{00000000-0005-0000-0000-000046000000}"/>
    <cellStyle name="_Book1_Book1_1_DUONG DOI TAN HOI-NEW 21-8-2006" xfId="60" xr:uid="{00000000-0005-0000-0000-000047000000}"/>
    <cellStyle name="_Book1_Book1_1_DUONG DOI THI XA-THU HOI-HC 2-3-07 xls" xfId="61" xr:uid="{00000000-0005-0000-0000-000048000000}"/>
    <cellStyle name="_Book1_Book1_1_DUONG DOI THI XA-THU HOI-HC 2-3-07 xls_Song tra-750-tram nen" xfId="62" xr:uid="{00000000-0005-0000-0000-000049000000}"/>
    <cellStyle name="_Book1_Book1_1_DUONG DOI THI XA-THU HOI-HC 2-3-07 xls_Song tra-750-tram nen 2" xfId="2703" xr:uid="{00000000-0005-0000-0000-00004A000000}"/>
    <cellStyle name="_Book1_Book1_1_Gia cuoc van chuyen" xfId="63" xr:uid="{00000000-0005-0000-0000-00004B000000}"/>
    <cellStyle name="_Book1_Book1_1_Khu dan cu SO 2(TK BV-TC)-1" xfId="64" xr:uid="{00000000-0005-0000-0000-00004C000000}"/>
    <cellStyle name="_Book1_Book1_1_KHU DAN CU SUOI VANG" xfId="65" xr:uid="{00000000-0005-0000-0000-00004D000000}"/>
    <cellStyle name="_Book1_Book1_1_Khu TDC Phuoc Trung" xfId="66" xr:uid="{00000000-0005-0000-0000-00004E000000}"/>
    <cellStyle name="_Book1_Book1_1_Pham Van Thanh" xfId="67" xr:uid="{00000000-0005-0000-0000-00004F000000}"/>
    <cellStyle name="_Book1_Book1_1_Phuoc My Giai Doan 3-gia moi-14-10-uni" xfId="68" xr:uid="{00000000-0005-0000-0000-000050000000}"/>
    <cellStyle name="_Book1_Book1_1_Song tra-750-tram nen" xfId="69" xr:uid="{00000000-0005-0000-0000-000051000000}"/>
    <cellStyle name="_Book1_Book1_1_Song tra-750-tram nen 2" xfId="2704" xr:uid="{00000000-0005-0000-0000-000052000000}"/>
    <cellStyle name="_Book1_Book1_1_Thuan Bac-sua lai" xfId="70" xr:uid="{00000000-0005-0000-0000-000053000000}"/>
    <cellStyle name="_Book1_Book1_1_VKim" xfId="71" xr:uid="{00000000-0005-0000-0000-000054000000}"/>
    <cellStyle name="_Book1_Book1_2" xfId="72" xr:uid="{00000000-0005-0000-0000-000055000000}"/>
    <cellStyle name="_Book1_Book1_2 2" xfId="2705" xr:uid="{00000000-0005-0000-0000-000056000000}"/>
    <cellStyle name="_Book1_Book1_BAO TRO XH-DU TOAN" xfId="73" xr:uid="{00000000-0005-0000-0000-000057000000}"/>
    <cellStyle name="_Book1_Book1_BD" xfId="74" xr:uid="{00000000-0005-0000-0000-000058000000}"/>
    <cellStyle name="_Book1_Book1_DI DOI TRUONG LE QUY DON-HC HOAN CONG" xfId="75" xr:uid="{00000000-0005-0000-0000-000059000000}"/>
    <cellStyle name="_Book1_Book1_DUONG DOI TAN HOI-NEW 21-8-2006" xfId="76" xr:uid="{00000000-0005-0000-0000-00005A000000}"/>
    <cellStyle name="_Book1_Book1_DUONG DOI THI XA-THU HOI-HC 2-3-07 xls" xfId="77" xr:uid="{00000000-0005-0000-0000-00005B000000}"/>
    <cellStyle name="_Book1_Book1_DUONG DOI THI XA-THU HOI-HC 2-3-07 xls_Song tra-750-tram nen" xfId="78" xr:uid="{00000000-0005-0000-0000-00005C000000}"/>
    <cellStyle name="_Book1_Book1_DUONG DOI THI XA-THU HOI-HC 2-3-07 xls_Song tra-750-tram nen 2" xfId="2706" xr:uid="{00000000-0005-0000-0000-00005D000000}"/>
    <cellStyle name="_Book1_Book1_Gia cuoc van chuyen" xfId="79" xr:uid="{00000000-0005-0000-0000-00005E000000}"/>
    <cellStyle name="_Book1_Book1_Khu dan cu SO 2(TK BV-TC)-1" xfId="80" xr:uid="{00000000-0005-0000-0000-00005F000000}"/>
    <cellStyle name="_Book1_Book1_KHU DAN CU SUOI VANG" xfId="81" xr:uid="{00000000-0005-0000-0000-000060000000}"/>
    <cellStyle name="_Book1_Book1_Khu TDC Phuoc Trung" xfId="82" xr:uid="{00000000-0005-0000-0000-000061000000}"/>
    <cellStyle name="_Book1_Book1_Pham Van Thanh" xfId="83" xr:uid="{00000000-0005-0000-0000-000062000000}"/>
    <cellStyle name="_Book1_Book1_Phuoc My Giai Doan 3-gia moi-14-10-uni" xfId="84" xr:uid="{00000000-0005-0000-0000-000063000000}"/>
    <cellStyle name="_Book1_Book1_Song tra-750-tram nen" xfId="85" xr:uid="{00000000-0005-0000-0000-000064000000}"/>
    <cellStyle name="_Book1_Book1_Song tra-750-tram nen 2" xfId="2707" xr:uid="{00000000-0005-0000-0000-000065000000}"/>
    <cellStyle name="_Book1_Book1_Thuan Bac-sua lai" xfId="86" xr:uid="{00000000-0005-0000-0000-000066000000}"/>
    <cellStyle name="_Book1_Book1_VKim" xfId="87" xr:uid="{00000000-0005-0000-0000-000067000000}"/>
    <cellStyle name="_Book1_DI DOI TRUONG LE QUY DON-HC HOAN CONG" xfId="88" xr:uid="{00000000-0005-0000-0000-000068000000}"/>
    <cellStyle name="_Book1_DT Ngoc Ha" xfId="89" xr:uid="{00000000-0005-0000-0000-000069000000}"/>
    <cellStyle name="_Book1_DT Ngoc Ha_Song tra-750-tram nen" xfId="90" xr:uid="{00000000-0005-0000-0000-00006A000000}"/>
    <cellStyle name="_Book1_Du toan thay ong ep va da composite sua" xfId="3820" xr:uid="{00000000-0005-0000-0000-00006B000000}"/>
    <cellStyle name="_Book1_DUONG DOI TAN HOI-NEW 21-8-2006" xfId="91" xr:uid="{00000000-0005-0000-0000-00006C000000}"/>
    <cellStyle name="_Book1_DUONG DOI THI XA-THU HOI-HC 2-3-07 xls" xfId="92" xr:uid="{00000000-0005-0000-0000-00006D000000}"/>
    <cellStyle name="_Book1_DUONG DOI THI XA-THU HOI-HC 2-3-07 xls_Song tra-750-tram nen" xfId="93" xr:uid="{00000000-0005-0000-0000-00006E000000}"/>
    <cellStyle name="_Book1_DUONG DOI THI XA-THU HOI-HC 2-3-07 xls_Song tra-750-tram nen 2" xfId="2708" xr:uid="{00000000-0005-0000-0000-00006F000000}"/>
    <cellStyle name="_Book1_Dutoan NC 22 khu vuc san bay  09-2006moi" xfId="3821" xr:uid="{00000000-0005-0000-0000-000070000000}"/>
    <cellStyle name="_Book1_Gia cuoc van chuyen" xfId="94" xr:uid="{00000000-0005-0000-0000-000071000000}"/>
    <cellStyle name="_Book1_Khu dan cu SO 2(TK BV-TC)-1" xfId="95" xr:uid="{00000000-0005-0000-0000-000072000000}"/>
    <cellStyle name="_Book1_KHU DAN CU SUOI VANG" xfId="96" xr:uid="{00000000-0005-0000-0000-000073000000}"/>
    <cellStyle name="_Book1_Khu TDC Phuoc Trung" xfId="97" xr:uid="{00000000-0005-0000-0000-000074000000}"/>
    <cellStyle name="_Book1_MUOI TINH PHUOC MINH" xfId="98" xr:uid="{00000000-0005-0000-0000-000075000000}"/>
    <cellStyle name="_Book1_MUOI TINH PHUOC MINH_Song tra-750-tram nen" xfId="99" xr:uid="{00000000-0005-0000-0000-000076000000}"/>
    <cellStyle name="_Book1_Pham Van Thanh" xfId="100" xr:uid="{00000000-0005-0000-0000-000077000000}"/>
    <cellStyle name="_Book1_Phuoc My Giai Doan 3-gia moi-14-10-uni" xfId="101" xr:uid="{00000000-0005-0000-0000-000078000000}"/>
    <cellStyle name="_Book1_SO TRU TRUNG AP SCL GUI ANH PHUONG" xfId="3822" xr:uid="{00000000-0005-0000-0000-000079000000}"/>
    <cellStyle name="_Book1_Song tra-750-tram nen" xfId="102" xr:uid="{00000000-0005-0000-0000-00007A000000}"/>
    <cellStyle name="_Book1_Song tra-750-tram nen 2" xfId="2709" xr:uid="{00000000-0005-0000-0000-00007B000000}"/>
    <cellStyle name="_Book1_TDC Tan My" xfId="103" xr:uid="{00000000-0005-0000-0000-00007C000000}"/>
    <cellStyle name="_Book1_TDC Tan My_Song tra-750-tram nen" xfId="104" xr:uid="{00000000-0005-0000-0000-00007D000000}"/>
    <cellStyle name="_Book1_Thuan Bac-sua lai" xfId="105" xr:uid="{00000000-0005-0000-0000-00007E000000}"/>
    <cellStyle name="_Book1_TONG KE NP" xfId="3823" xr:uid="{00000000-0005-0000-0000-00007F000000}"/>
    <cellStyle name="_Book1_TONG KE PRTC" xfId="3824" xr:uid="{00000000-0005-0000-0000-000080000000}"/>
    <cellStyle name="_Book1_Truong day nghe (20.1.06)" xfId="106" xr:uid="{00000000-0005-0000-0000-000081000000}"/>
    <cellStyle name="_Book1_VKim" xfId="107" xr:uid="{00000000-0005-0000-0000-000082000000}"/>
    <cellStyle name="_Dien Ke thon Phuoc Nhon 2" xfId="108" xr:uid="{00000000-0005-0000-0000-000083000000}"/>
    <cellStyle name="_DM.NHANCONG" xfId="109" xr:uid="{00000000-0005-0000-0000-000084000000}"/>
    <cellStyle name="_DM.NHANCONG_Song tra-750-tram nen" xfId="110" xr:uid="{00000000-0005-0000-0000-000085000000}"/>
    <cellStyle name="_DM.NHANCONG_Song tra-750-tram nen 2" xfId="2710" xr:uid="{00000000-0005-0000-0000-000086000000}"/>
    <cellStyle name="_DO GHI NINH HAI 2" xfId="3825" xr:uid="{00000000-0005-0000-0000-000087000000}"/>
    <cellStyle name="_DT Ngoc Ha" xfId="111" xr:uid="{00000000-0005-0000-0000-000088000000}"/>
    <cellStyle name="_DT Ngoc Ha_Song tra-750-tram nen" xfId="112" xr:uid="{00000000-0005-0000-0000-000089000000}"/>
    <cellStyle name="_DT Ngoc Ha_Song tra-750-tram nen 2" xfId="2711" xr:uid="{00000000-0005-0000-0000-00008A000000}"/>
    <cellStyle name="_x0001__du toan " xfId="113" xr:uid="{00000000-0005-0000-0000-00008B000000}"/>
    <cellStyle name="_DU TOAN  SCL 2013(THUAN BAC)" xfId="3826" xr:uid="{00000000-0005-0000-0000-00008C000000}"/>
    <cellStyle name="_Du toan tram GDEN2 giai doan 2" xfId="114" xr:uid="{00000000-0005-0000-0000-00008D000000}"/>
    <cellStyle name="_Du toan tram PHUOC NHON 2 giai doan 2" xfId="115" xr:uid="{00000000-0005-0000-0000-00008E000000}"/>
    <cellStyle name="_Dutoan NC 22 khu vuc san bay  09-2006moi" xfId="3827" xr:uid="{00000000-0005-0000-0000-00008F000000}"/>
    <cellStyle name="_DUTOAN_DAMDOI_PD1" xfId="116" xr:uid="{00000000-0005-0000-0000-000090000000}"/>
    <cellStyle name="_DUTOAN_DAMDOI_PD1_Song tra-750-tram nen" xfId="117" xr:uid="{00000000-0005-0000-0000-000091000000}"/>
    <cellStyle name="_DUTOAN_DAMDOI_PD1_Song tra-750-tram nen 2" xfId="2712" xr:uid="{00000000-0005-0000-0000-000092000000}"/>
    <cellStyle name="_HSN" xfId="3828" xr:uid="{00000000-0005-0000-0000-000093000000}"/>
    <cellStyle name="_kh0506" xfId="3829" xr:uid="{00000000-0005-0000-0000-000094000000}"/>
    <cellStyle name="_khHD1-0506" xfId="3830" xr:uid="{00000000-0005-0000-0000-000095000000}"/>
    <cellStyle name="_KHU DAN CU SUOI VANG" xfId="118" xr:uid="{00000000-0005-0000-0000-000096000000}"/>
    <cellStyle name="_Khu dan cu Thap Cham 1 (TK BV-TC)-2-HC LAN 1" xfId="119" xr:uid="{00000000-0005-0000-0000-000097000000}"/>
    <cellStyle name="_Khu TDC Phuoc Trung" xfId="120" xr:uid="{00000000-0005-0000-0000-000098000000}"/>
    <cellStyle name="_Khu TDC Phuoc Trung_Song tra-750-tram nen" xfId="121" xr:uid="{00000000-0005-0000-0000-000099000000}"/>
    <cellStyle name="_Khu TDC Phuoc Trung_Song tra-750-tram nen 2" xfId="2713" xr:uid="{00000000-0005-0000-0000-00009A000000}"/>
    <cellStyle name="_KINH DOANH_ SCL 2015" xfId="3831" xr:uid="{00000000-0005-0000-0000-00009B000000}"/>
    <cellStyle name="_KT (2)" xfId="122" xr:uid="{00000000-0005-0000-0000-00009C000000}"/>
    <cellStyle name="_KT (2)_06 Muoi Tri Hai" xfId="123" xr:uid="{00000000-0005-0000-0000-00009D000000}"/>
    <cellStyle name="_KT (2)_06-scl-PHUOC HAI.HIEU CHINH-lan 2-09-12-05xls" xfId="124" xr:uid="{00000000-0005-0000-0000-00009E000000}"/>
    <cellStyle name="_KT (2)_07-PHUOC HA.XLS-1" xfId="125" xr:uid="{00000000-0005-0000-0000-00009F000000}"/>
    <cellStyle name="_KT (2)_07-PHUOC HA.XLS-1_Song tra-750-tram nen" xfId="126" xr:uid="{00000000-0005-0000-0000-0000A0000000}"/>
    <cellStyle name="_KT (2)_07-PHUOC HA.XLS-1_Song tra-750-tram nen 2" xfId="2714" xr:uid="{00000000-0005-0000-0000-0000A1000000}"/>
    <cellStyle name="_KT (2)_07-scl ninh hai 31-05" xfId="3832" xr:uid="{00000000-0005-0000-0000-0000A2000000}"/>
    <cellStyle name="_KT (2)_1" xfId="127" xr:uid="{00000000-0005-0000-0000-0000A3000000}"/>
    <cellStyle name="_KT (2)_1_Book1" xfId="128" xr:uid="{00000000-0005-0000-0000-0000A4000000}"/>
    <cellStyle name="_KT (2)_1_Book1_Song tra-750-tram nen" xfId="129" xr:uid="{00000000-0005-0000-0000-0000A5000000}"/>
    <cellStyle name="_KT (2)_1_Du toan thay ong ep va da composite sua" xfId="3833" xr:uid="{00000000-0005-0000-0000-0000A6000000}"/>
    <cellStyle name="_KT (2)_1_KHU DAN CU SUOI VANG" xfId="130" xr:uid="{00000000-0005-0000-0000-0000A7000000}"/>
    <cellStyle name="_KT (2)_1_Khu dan cu Thap Cham 1 (TK BV-TC)-2-HC LAN 1" xfId="131" xr:uid="{00000000-0005-0000-0000-0000A8000000}"/>
    <cellStyle name="_KT (2)_1_Khu TDC Phuoc Trung" xfId="132" xr:uid="{00000000-0005-0000-0000-0000A9000000}"/>
    <cellStyle name="_KT (2)_1_Khu TDC Phuoc Trung_Song tra-750-tram nen" xfId="133" xr:uid="{00000000-0005-0000-0000-0000AA000000}"/>
    <cellStyle name="_KT (2)_1_Lora-tungchau" xfId="134" xr:uid="{00000000-0005-0000-0000-0000AB000000}"/>
    <cellStyle name="_KT (2)_1_Lora-tungchau_Song tra-750-tram nen" xfId="135" xr:uid="{00000000-0005-0000-0000-0000AC000000}"/>
    <cellStyle name="_KT (2)_1_Qt-HT3PQ1(CauKho)" xfId="136" xr:uid="{00000000-0005-0000-0000-0000AD000000}"/>
    <cellStyle name="_KT (2)_1_Qt-HT3PQ1(CauKho)_Song tra-750-tram nen" xfId="137" xr:uid="{00000000-0005-0000-0000-0000AE000000}"/>
    <cellStyle name="_KT (2)_1_Song tra-750-tram nen" xfId="138" xr:uid="{00000000-0005-0000-0000-0000AF000000}"/>
    <cellStyle name="_KT (2)_2" xfId="139" xr:uid="{00000000-0005-0000-0000-0000B0000000}"/>
    <cellStyle name="_KT (2)_2_Du toan thay ong ep va da composite sua" xfId="3834" xr:uid="{00000000-0005-0000-0000-0000B1000000}"/>
    <cellStyle name="_KT (2)_2_Song tra-750-tram nen" xfId="140" xr:uid="{00000000-0005-0000-0000-0000B2000000}"/>
    <cellStyle name="_KT (2)_2_TG-TH" xfId="141" xr:uid="{00000000-0005-0000-0000-0000B3000000}"/>
    <cellStyle name="_KT (2)_2_TG-TH_06 Muoi Tri Hai" xfId="142" xr:uid="{00000000-0005-0000-0000-0000B4000000}"/>
    <cellStyle name="_KT (2)_2_TG-TH_06-scl-PHUOC HAI.HIEU CHINH-lan 2-09-12-05xls" xfId="143" xr:uid="{00000000-0005-0000-0000-0000B5000000}"/>
    <cellStyle name="_KT (2)_2_TG-TH_07-PHUOC HA.XLS-1" xfId="144" xr:uid="{00000000-0005-0000-0000-0000B6000000}"/>
    <cellStyle name="_KT (2)_2_TG-TH_07-PHUOC HA.XLS-1_Song tra-750-tram nen" xfId="145" xr:uid="{00000000-0005-0000-0000-0000B7000000}"/>
    <cellStyle name="_KT (2)_2_TG-TH_07-PHUOC HA.XLS-1_Song tra-750-tram nen 2" xfId="2715" xr:uid="{00000000-0005-0000-0000-0000B8000000}"/>
    <cellStyle name="_KT (2)_2_TG-TH_07-scl ninh hai 31-05" xfId="3835" xr:uid="{00000000-0005-0000-0000-0000B9000000}"/>
    <cellStyle name="_KT (2)_2_TG-TH_6.BANG CHI TIET" xfId="146" xr:uid="{00000000-0005-0000-0000-0000BA000000}"/>
    <cellStyle name="_KT (2)_2_TG-TH_BANG SO SANH NHAN CONG SC MBA DUYET" xfId="147" xr:uid="{00000000-0005-0000-0000-0000BB000000}"/>
    <cellStyle name="_KT (2)_2_TG-TH_BAO CAO KLCT PT2000" xfId="148" xr:uid="{00000000-0005-0000-0000-0000BC000000}"/>
    <cellStyle name="_KT (2)_2_TG-TH_BAO CAO KLCT PT2000_Song tra-750-tram nen" xfId="149" xr:uid="{00000000-0005-0000-0000-0000BD000000}"/>
    <cellStyle name="_KT (2)_2_TG-TH_BAO CAO KLCT PT2000_Song tra-750-tram nen 2" xfId="2716" xr:uid="{00000000-0005-0000-0000-0000BE000000}"/>
    <cellStyle name="_KT (2)_2_TG-TH_BAO CAO PT2000" xfId="150" xr:uid="{00000000-0005-0000-0000-0000BF000000}"/>
    <cellStyle name="_KT (2)_2_TG-TH_BAO CAO PT2000_Book1" xfId="151" xr:uid="{00000000-0005-0000-0000-0000C0000000}"/>
    <cellStyle name="_KT (2)_2_TG-TH_BAO CAO PT2000_Book1_Song tra-750-tram nen" xfId="152" xr:uid="{00000000-0005-0000-0000-0000C1000000}"/>
    <cellStyle name="_KT (2)_2_TG-TH_BAO CAO PT2000_Book1_Song tra-750-tram nen 2" xfId="2717" xr:uid="{00000000-0005-0000-0000-0000C2000000}"/>
    <cellStyle name="_KT (2)_2_TG-TH_BAO CAO PT2000_DT Ngoc Ha" xfId="153" xr:uid="{00000000-0005-0000-0000-0000C3000000}"/>
    <cellStyle name="_KT (2)_2_TG-TH_BAO CAO PT2000_DT Ngoc Ha_Song tra-750-tram nen" xfId="154" xr:uid="{00000000-0005-0000-0000-0000C4000000}"/>
    <cellStyle name="_KT (2)_2_TG-TH_BAO CAO PT2000_DT Ngoc Ha_Song tra-750-tram nen 2" xfId="2718" xr:uid="{00000000-0005-0000-0000-0000C5000000}"/>
    <cellStyle name="_KT (2)_2_TG-TH_BAO CAO PT2000_MUOI TINH PHUOC MINH" xfId="155" xr:uid="{00000000-0005-0000-0000-0000C6000000}"/>
    <cellStyle name="_KT (2)_2_TG-TH_BAO CAO PT2000_MUOI TINH PHUOC MINH_Song tra-750-tram nen" xfId="156" xr:uid="{00000000-0005-0000-0000-0000C7000000}"/>
    <cellStyle name="_KT (2)_2_TG-TH_BAO CAO PT2000_MUOI TINH PHUOC MINH_Song tra-750-tram nen 2" xfId="2719" xr:uid="{00000000-0005-0000-0000-0000C8000000}"/>
    <cellStyle name="_KT (2)_2_TG-TH_BAO CAO PT2000_Song tra-750-tram nen" xfId="157" xr:uid="{00000000-0005-0000-0000-0000C9000000}"/>
    <cellStyle name="_KT (2)_2_TG-TH_BAO CAO PT2000_Song tra-750-tram nen 2" xfId="2720" xr:uid="{00000000-0005-0000-0000-0000CA000000}"/>
    <cellStyle name="_KT (2)_2_TG-TH_BAO CAO PT2000_TDC Tan My" xfId="158" xr:uid="{00000000-0005-0000-0000-0000CB000000}"/>
    <cellStyle name="_KT (2)_2_TG-TH_BAO CAO PT2000_TDC Tan My_Song tra-750-tram nen" xfId="159" xr:uid="{00000000-0005-0000-0000-0000CC000000}"/>
    <cellStyle name="_KT (2)_2_TG-TH_BAO CAO PT2000_TDC Tan My_Song tra-750-tram nen 2" xfId="2721" xr:uid="{00000000-0005-0000-0000-0000CD000000}"/>
    <cellStyle name="_KT (2)_2_TG-TH_BAO CAO PT2000_trinh bao gia" xfId="160" xr:uid="{00000000-0005-0000-0000-0000CE000000}"/>
    <cellStyle name="_KT (2)_2_TG-TH_BAO CAO PT2000_trinh bao gia_06 Thuy san Ninh Phuoc (luu 21-06)" xfId="161" xr:uid="{00000000-0005-0000-0000-0000CF000000}"/>
    <cellStyle name="_KT (2)_2_TG-TH_BAO CAO PT2000_trinh bao gia_BAO TRO XH-DU TOAN" xfId="162" xr:uid="{00000000-0005-0000-0000-0000D0000000}"/>
    <cellStyle name="_KT (2)_2_TG-TH_BAO CAO PT2000_trinh bao gia_BD" xfId="163" xr:uid="{00000000-0005-0000-0000-0000D1000000}"/>
    <cellStyle name="_KT (2)_2_TG-TH_BAO CAO PT2000_trinh bao gia_DI DOI TRUONG LE QUY DON-HC HOAN CONG" xfId="164" xr:uid="{00000000-0005-0000-0000-0000D2000000}"/>
    <cellStyle name="_KT (2)_2_TG-TH_BAO CAO PT2000_trinh bao gia_DUONG DOI TAN HOI-NEW 21-8-2006" xfId="165" xr:uid="{00000000-0005-0000-0000-0000D3000000}"/>
    <cellStyle name="_KT (2)_2_TG-TH_BAO CAO PT2000_trinh bao gia_DUONG DOI THI XA-THU HOI-HC 2-3-07 xls" xfId="166" xr:uid="{00000000-0005-0000-0000-0000D4000000}"/>
    <cellStyle name="_KT (2)_2_TG-TH_BAO CAO PT2000_trinh bao gia_DUONG DOI THI XA-THU HOI-HC 2-3-07 xls_Song tra-750-tram nen" xfId="167" xr:uid="{00000000-0005-0000-0000-0000D5000000}"/>
    <cellStyle name="_KT (2)_2_TG-TH_BAO CAO PT2000_trinh bao gia_DUONG DOI THI XA-THU HOI-HC 2-3-07 xls_Song tra-750-tram nen 2" xfId="2722" xr:uid="{00000000-0005-0000-0000-0000D6000000}"/>
    <cellStyle name="_KT (2)_2_TG-TH_BAO CAO PT2000_trinh bao gia_Gia cuoc van chuyen" xfId="168" xr:uid="{00000000-0005-0000-0000-0000D7000000}"/>
    <cellStyle name="_KT (2)_2_TG-TH_BAO CAO PT2000_trinh bao gia_Khu dan cu SO 2(TK BV-TC)-1" xfId="169" xr:uid="{00000000-0005-0000-0000-0000D8000000}"/>
    <cellStyle name="_KT (2)_2_TG-TH_BAO CAO PT2000_trinh bao gia_KHU DAN CU SUOI VANG" xfId="170" xr:uid="{00000000-0005-0000-0000-0000D9000000}"/>
    <cellStyle name="_KT (2)_2_TG-TH_BAO CAO PT2000_trinh bao gia_Khu TDC Phuoc Trung" xfId="171" xr:uid="{00000000-0005-0000-0000-0000DA000000}"/>
    <cellStyle name="_KT (2)_2_TG-TH_BAO CAO PT2000_trinh bao gia_Pham Van Thanh" xfId="172" xr:uid="{00000000-0005-0000-0000-0000DB000000}"/>
    <cellStyle name="_KT (2)_2_TG-TH_BAO CAO PT2000_trinh bao gia_Phuoc My Giai Doan 3-gia moi-14-10-uni" xfId="173" xr:uid="{00000000-0005-0000-0000-0000DC000000}"/>
    <cellStyle name="_KT (2)_2_TG-TH_BAO CAO PT2000_trinh bao gia_Song tra-750-tram nen" xfId="174" xr:uid="{00000000-0005-0000-0000-0000DD000000}"/>
    <cellStyle name="_KT (2)_2_TG-TH_BAO CAO PT2000_trinh bao gia_Song tra-750-tram nen 2" xfId="2723" xr:uid="{00000000-0005-0000-0000-0000DE000000}"/>
    <cellStyle name="_KT (2)_2_TG-TH_BAO CAO PT2000_trinh bao gia_Thuan Bac-sua lai" xfId="175" xr:uid="{00000000-0005-0000-0000-0000DF000000}"/>
    <cellStyle name="_KT (2)_2_TG-TH_BAO CAO PT2000_trinh bao gia_VKim" xfId="176" xr:uid="{00000000-0005-0000-0000-0000E0000000}"/>
    <cellStyle name="_KT (2)_2_TG-TH_BAO CAO PT2000_Truong day nghe (20.1.06)" xfId="177" xr:uid="{00000000-0005-0000-0000-0000E1000000}"/>
    <cellStyle name="_KT (2)_2_TG-TH_BAO CAO PT2000_Truong day nghe (20.1.06) 2" xfId="2724" xr:uid="{00000000-0005-0000-0000-0000E2000000}"/>
    <cellStyle name="_KT (2)_2_TG-TH_Bao cao XDCB 2001 - T11 KH dieu chinh 20-11-THAI" xfId="178" xr:uid="{00000000-0005-0000-0000-0000E3000000}"/>
    <cellStyle name="_KT (2)_2_TG-TH_Bao cao XDCB 2001 - T11 KH dieu chinh 20-11-THAI_Book1" xfId="179" xr:uid="{00000000-0005-0000-0000-0000E4000000}"/>
    <cellStyle name="_KT (2)_2_TG-TH_Bao cao XDCB 2001 - T11 KH dieu chinh 20-11-THAI_Book1_Song tra-750-tram nen" xfId="180" xr:uid="{00000000-0005-0000-0000-0000E5000000}"/>
    <cellStyle name="_KT (2)_2_TG-TH_Bao cao XDCB 2001 - T11 KH dieu chinh 20-11-THAI_Book1_Song tra-750-tram nen 2" xfId="2725" xr:uid="{00000000-0005-0000-0000-0000E6000000}"/>
    <cellStyle name="_KT (2)_2_TG-TH_Bao cao XDCB 2001 - T11 KH dieu chinh 20-11-THAI_DT Ngoc Ha" xfId="181" xr:uid="{00000000-0005-0000-0000-0000E7000000}"/>
    <cellStyle name="_KT (2)_2_TG-TH_Bao cao XDCB 2001 - T11 KH dieu chinh 20-11-THAI_DT Ngoc Ha_Song tra-750-tram nen" xfId="182" xr:uid="{00000000-0005-0000-0000-0000E8000000}"/>
    <cellStyle name="_KT (2)_2_TG-TH_Bao cao XDCB 2001 - T11 KH dieu chinh 20-11-THAI_DT Ngoc Ha_Song tra-750-tram nen 2" xfId="2726" xr:uid="{00000000-0005-0000-0000-0000E9000000}"/>
    <cellStyle name="_KT (2)_2_TG-TH_Bao cao XDCB 2001 - T11 KH dieu chinh 20-11-THAI_MUOI TINH PHUOC MINH" xfId="183" xr:uid="{00000000-0005-0000-0000-0000EA000000}"/>
    <cellStyle name="_KT (2)_2_TG-TH_Bao cao XDCB 2001 - T11 KH dieu chinh 20-11-THAI_MUOI TINH PHUOC MINH_Song tra-750-tram nen" xfId="184" xr:uid="{00000000-0005-0000-0000-0000EB000000}"/>
    <cellStyle name="_KT (2)_2_TG-TH_Bao cao XDCB 2001 - T11 KH dieu chinh 20-11-THAI_MUOI TINH PHUOC MINH_Song tra-750-tram nen 2" xfId="2727" xr:uid="{00000000-0005-0000-0000-0000EC000000}"/>
    <cellStyle name="_KT (2)_2_TG-TH_Bao cao XDCB 2001 - T11 KH dieu chinh 20-11-THAI_Song tra-750-tram nen" xfId="185" xr:uid="{00000000-0005-0000-0000-0000ED000000}"/>
    <cellStyle name="_KT (2)_2_TG-TH_Bao cao XDCB 2001 - T11 KH dieu chinh 20-11-THAI_Song tra-750-tram nen 2" xfId="2728" xr:uid="{00000000-0005-0000-0000-0000EE000000}"/>
    <cellStyle name="_KT (2)_2_TG-TH_Bao cao XDCB 2001 - T11 KH dieu chinh 20-11-THAI_TDC Tan My" xfId="186" xr:uid="{00000000-0005-0000-0000-0000EF000000}"/>
    <cellStyle name="_KT (2)_2_TG-TH_Bao cao XDCB 2001 - T11 KH dieu chinh 20-11-THAI_TDC Tan My_Song tra-750-tram nen" xfId="187" xr:uid="{00000000-0005-0000-0000-0000F0000000}"/>
    <cellStyle name="_KT (2)_2_TG-TH_Bao cao XDCB 2001 - T11 KH dieu chinh 20-11-THAI_TDC Tan My_Song tra-750-tram nen 2" xfId="2729" xr:uid="{00000000-0005-0000-0000-0000F1000000}"/>
    <cellStyle name="_KT (2)_2_TG-TH_Bao cao XDCB 2001 - T11 KH dieu chinh 20-11-THAI_trinh bao gia" xfId="188" xr:uid="{00000000-0005-0000-0000-0000F2000000}"/>
    <cellStyle name="_KT (2)_2_TG-TH_Bao cao XDCB 2001 - T11 KH dieu chinh 20-11-THAI_trinh bao gia_06 Thuy san Ninh Phuoc (luu 21-06)" xfId="189" xr:uid="{00000000-0005-0000-0000-0000F3000000}"/>
    <cellStyle name="_KT (2)_2_TG-TH_Bao cao XDCB 2001 - T11 KH dieu chinh 20-11-THAI_trinh bao gia_BAO TRO XH-DU TOAN" xfId="190" xr:uid="{00000000-0005-0000-0000-0000F4000000}"/>
    <cellStyle name="_KT (2)_2_TG-TH_Bao cao XDCB 2001 - T11 KH dieu chinh 20-11-THAI_trinh bao gia_BD" xfId="191" xr:uid="{00000000-0005-0000-0000-0000F5000000}"/>
    <cellStyle name="_KT (2)_2_TG-TH_Bao cao XDCB 2001 - T11 KH dieu chinh 20-11-THAI_trinh bao gia_DI DOI TRUONG LE QUY DON-HC HOAN CONG" xfId="192" xr:uid="{00000000-0005-0000-0000-0000F6000000}"/>
    <cellStyle name="_KT (2)_2_TG-TH_Bao cao XDCB 2001 - T11 KH dieu chinh 20-11-THAI_trinh bao gia_DUONG DOI TAN HOI-NEW 21-8-2006" xfId="193" xr:uid="{00000000-0005-0000-0000-0000F7000000}"/>
    <cellStyle name="_KT (2)_2_TG-TH_Bao cao XDCB 2001 - T11 KH dieu chinh 20-11-THAI_trinh bao gia_DUONG DOI THI XA-THU HOI-HC 2-3-07 xls" xfId="194" xr:uid="{00000000-0005-0000-0000-0000F8000000}"/>
    <cellStyle name="_KT (2)_2_TG-TH_Bao cao XDCB 2001 - T11 KH dieu chinh 20-11-THAI_trinh bao gia_DUONG DOI THI XA-THU HOI-HC 2-3-07 xls_Song tra-750-tram nen" xfId="195" xr:uid="{00000000-0005-0000-0000-0000F9000000}"/>
    <cellStyle name="_KT (2)_2_TG-TH_Bao cao XDCB 2001 - T11 KH dieu chinh 20-11-THAI_trinh bao gia_DUONG DOI THI XA-THU HOI-HC 2-3-07 xls_Song tra-750-tram nen 2" xfId="2730" xr:uid="{00000000-0005-0000-0000-0000FA000000}"/>
    <cellStyle name="_KT (2)_2_TG-TH_Bao cao XDCB 2001 - T11 KH dieu chinh 20-11-THAI_trinh bao gia_Gia cuoc van chuyen" xfId="196" xr:uid="{00000000-0005-0000-0000-0000FB000000}"/>
    <cellStyle name="_KT (2)_2_TG-TH_Bao cao XDCB 2001 - T11 KH dieu chinh 20-11-THAI_trinh bao gia_Khu dan cu SO 2(TK BV-TC)-1" xfId="197" xr:uid="{00000000-0005-0000-0000-0000FC000000}"/>
    <cellStyle name="_KT (2)_2_TG-TH_Bao cao XDCB 2001 - T11 KH dieu chinh 20-11-THAI_trinh bao gia_KHU DAN CU SUOI VANG" xfId="198" xr:uid="{00000000-0005-0000-0000-0000FD000000}"/>
    <cellStyle name="_KT (2)_2_TG-TH_Bao cao XDCB 2001 - T11 KH dieu chinh 20-11-THAI_trinh bao gia_Khu TDC Phuoc Trung" xfId="199" xr:uid="{00000000-0005-0000-0000-0000FE000000}"/>
    <cellStyle name="_KT (2)_2_TG-TH_Bao cao XDCB 2001 - T11 KH dieu chinh 20-11-THAI_trinh bao gia_Pham Van Thanh" xfId="200" xr:uid="{00000000-0005-0000-0000-0000FF000000}"/>
    <cellStyle name="_KT (2)_2_TG-TH_Bao cao XDCB 2001 - T11 KH dieu chinh 20-11-THAI_trinh bao gia_Phuoc My Giai Doan 3-gia moi-14-10-uni" xfId="201" xr:uid="{00000000-0005-0000-0000-000000010000}"/>
    <cellStyle name="_KT (2)_2_TG-TH_Bao cao XDCB 2001 - T11 KH dieu chinh 20-11-THAI_trinh bao gia_Song tra-750-tram nen" xfId="202" xr:uid="{00000000-0005-0000-0000-000001010000}"/>
    <cellStyle name="_KT (2)_2_TG-TH_Bao cao XDCB 2001 - T11 KH dieu chinh 20-11-THAI_trinh bao gia_Song tra-750-tram nen 2" xfId="2731" xr:uid="{00000000-0005-0000-0000-000002010000}"/>
    <cellStyle name="_KT (2)_2_TG-TH_Bao cao XDCB 2001 - T11 KH dieu chinh 20-11-THAI_trinh bao gia_Thuan Bac-sua lai" xfId="203" xr:uid="{00000000-0005-0000-0000-000003010000}"/>
    <cellStyle name="_KT (2)_2_TG-TH_Bao cao XDCB 2001 - T11 KH dieu chinh 20-11-THAI_trinh bao gia_VKim" xfId="204" xr:uid="{00000000-0005-0000-0000-000004010000}"/>
    <cellStyle name="_KT (2)_2_TG-TH_Bao cao XDCB 2001 - T11 KH dieu chinh 20-11-THAI_Truong day nghe (20.1.06)" xfId="205" xr:uid="{00000000-0005-0000-0000-000005010000}"/>
    <cellStyle name="_KT (2)_2_TG-TH_Bao cao XDCB 2001 - T11 KH dieu chinh 20-11-THAI_Truong day nghe (20.1.06) 2" xfId="2732" xr:uid="{00000000-0005-0000-0000-000006010000}"/>
    <cellStyle name="_KT (2)_2_TG-TH_Book1" xfId="206" xr:uid="{00000000-0005-0000-0000-000007010000}"/>
    <cellStyle name="_KT (2)_2_TG-TH_Book1_06 Muoi Tri Hai" xfId="207" xr:uid="{00000000-0005-0000-0000-000008010000}"/>
    <cellStyle name="_KT (2)_2_TG-TH_Book1_07-PHUOC HA.XLS-1" xfId="208" xr:uid="{00000000-0005-0000-0000-000009010000}"/>
    <cellStyle name="_KT (2)_2_TG-TH_Book1_07-PHUOC HA.XLS-1_Song tra-750-tram nen" xfId="209" xr:uid="{00000000-0005-0000-0000-00000A010000}"/>
    <cellStyle name="_KT (2)_2_TG-TH_Book1_07-PHUOC HA.XLS-1_Song tra-750-tram nen 2" xfId="2733" xr:uid="{00000000-0005-0000-0000-00000B010000}"/>
    <cellStyle name="_KT (2)_2_TG-TH_Book1_1" xfId="210" xr:uid="{00000000-0005-0000-0000-00000C010000}"/>
    <cellStyle name="_KT (2)_2_TG-TH_Book1_1_Song tra-750-tram nen" xfId="211" xr:uid="{00000000-0005-0000-0000-00000D010000}"/>
    <cellStyle name="_KT (2)_2_TG-TH_Book1_1_Song tra-750-tram nen 2" xfId="2734" xr:uid="{00000000-0005-0000-0000-00000E010000}"/>
    <cellStyle name="_KT (2)_2_TG-TH_Book1_2" xfId="212" xr:uid="{00000000-0005-0000-0000-00000F010000}"/>
    <cellStyle name="_KT (2)_2_TG-TH_Book1_2_Song tra-750-tram nen" xfId="213" xr:uid="{00000000-0005-0000-0000-000010010000}"/>
    <cellStyle name="_KT (2)_2_TG-TH_Book1_2_Song tra-750-tram nen 2" xfId="2735" xr:uid="{00000000-0005-0000-0000-000011010000}"/>
    <cellStyle name="_KT (2)_2_TG-TH_Book1_2_trinh bao gia" xfId="214" xr:uid="{00000000-0005-0000-0000-000012010000}"/>
    <cellStyle name="_KT (2)_2_TG-TH_Book1_2_trinh bao gia_Song tra-750-tram nen" xfId="215" xr:uid="{00000000-0005-0000-0000-000013010000}"/>
    <cellStyle name="_KT (2)_2_TG-TH_Book1_2_trinh bao gia_Song tra-750-tram nen 2" xfId="2736" xr:uid="{00000000-0005-0000-0000-000014010000}"/>
    <cellStyle name="_KT (2)_2_TG-TH_Book1_3" xfId="216" xr:uid="{00000000-0005-0000-0000-000015010000}"/>
    <cellStyle name="_KT (2)_2_TG-TH_Book1_3_DT Ngoc Ha" xfId="217" xr:uid="{00000000-0005-0000-0000-000016010000}"/>
    <cellStyle name="_KT (2)_2_TG-TH_Book1_3_DT Ngoc Ha_Song tra-750-tram nen" xfId="218" xr:uid="{00000000-0005-0000-0000-000017010000}"/>
    <cellStyle name="_KT (2)_2_TG-TH_Book1_3_DT Ngoc Ha_Song tra-750-tram nen 2" xfId="2737" xr:uid="{00000000-0005-0000-0000-000018010000}"/>
    <cellStyle name="_KT (2)_2_TG-TH_Book1_3_Song tra-750-tram nen" xfId="219" xr:uid="{00000000-0005-0000-0000-000019010000}"/>
    <cellStyle name="_KT (2)_2_TG-TH_Book1_3_trinh bao gia" xfId="220" xr:uid="{00000000-0005-0000-0000-00001A010000}"/>
    <cellStyle name="_KT (2)_2_TG-TH_Book1_3_trinh bao gia_Song tra-750-tram nen" xfId="221" xr:uid="{00000000-0005-0000-0000-00001B010000}"/>
    <cellStyle name="_KT (2)_2_TG-TH_Book1_4" xfId="222" xr:uid="{00000000-0005-0000-0000-00001C010000}"/>
    <cellStyle name="_KT (2)_2_TG-TH_Book1_6.BANG CHI TIET" xfId="223" xr:uid="{00000000-0005-0000-0000-00001D010000}"/>
    <cellStyle name="_KT (2)_2_TG-TH_Book1_Book1" xfId="224" xr:uid="{00000000-0005-0000-0000-00001E010000}"/>
    <cellStyle name="_KT (2)_2_TG-TH_Book1_Book1_Song tra-750-tram nen" xfId="225" xr:uid="{00000000-0005-0000-0000-00001F010000}"/>
    <cellStyle name="_KT (2)_2_TG-TH_Book1_Book1_Song tra-750-tram nen 2" xfId="2738" xr:uid="{00000000-0005-0000-0000-000020010000}"/>
    <cellStyle name="_KT (2)_2_TG-TH_Book1_DT Ngoc Ha" xfId="226" xr:uid="{00000000-0005-0000-0000-000021010000}"/>
    <cellStyle name="_KT (2)_2_TG-TH_Book1_DT Ngoc Ha_Song tra-750-tram nen" xfId="227" xr:uid="{00000000-0005-0000-0000-000022010000}"/>
    <cellStyle name="_KT (2)_2_TG-TH_Book1_DT Ngoc Ha_Song tra-750-tram nen 2" xfId="2739" xr:uid="{00000000-0005-0000-0000-000023010000}"/>
    <cellStyle name="_KT (2)_2_TG-TH_Book1_Dutoan NC 22 khu vuc san bay  09-2006moi" xfId="3836" xr:uid="{00000000-0005-0000-0000-000024010000}"/>
    <cellStyle name="_KT (2)_2_TG-TH_Book1_KH2-06 PT LHT Binh Thanh 2003" xfId="228" xr:uid="{00000000-0005-0000-0000-000025010000}"/>
    <cellStyle name="_KT (2)_2_TG-TH_Book1_KH2-06 PT LHT Binh Thanh 2003_Song tra-750-tram nen" xfId="229" xr:uid="{00000000-0005-0000-0000-000026010000}"/>
    <cellStyle name="_KT (2)_2_TG-TH_Book1_KH2-06 PT LHT Binh Thanh 2003_Song tra-750-tram nen 2" xfId="2740" xr:uid="{00000000-0005-0000-0000-000027010000}"/>
    <cellStyle name="_KT (2)_2_TG-TH_Book1_MUOI TINH PHUOC MINH" xfId="230" xr:uid="{00000000-0005-0000-0000-000028010000}"/>
    <cellStyle name="_KT (2)_2_TG-TH_Book1_MUOI TINH PHUOC MINH_Song tra-750-tram nen" xfId="231" xr:uid="{00000000-0005-0000-0000-000029010000}"/>
    <cellStyle name="_KT (2)_2_TG-TH_Book1_MUOI TINH PHUOC MINH_Song tra-750-tram nen 2" xfId="2741" xr:uid="{00000000-0005-0000-0000-00002A010000}"/>
    <cellStyle name="_KT (2)_2_TG-TH_Book1_Song tra-750-tram nen" xfId="232" xr:uid="{00000000-0005-0000-0000-00002B010000}"/>
    <cellStyle name="_KT (2)_2_TG-TH_Book1_Song tra-750-tram nen 2" xfId="2742" xr:uid="{00000000-0005-0000-0000-00002C010000}"/>
    <cellStyle name="_KT (2)_2_TG-TH_Book1_TDC Tan My" xfId="233" xr:uid="{00000000-0005-0000-0000-00002D010000}"/>
    <cellStyle name="_KT (2)_2_TG-TH_Book1_TDC Tan My_Song tra-750-tram nen" xfId="234" xr:uid="{00000000-0005-0000-0000-00002E010000}"/>
    <cellStyle name="_KT (2)_2_TG-TH_Book1_TDC Tan My_Song tra-750-tram nen 2" xfId="2743" xr:uid="{00000000-0005-0000-0000-00002F010000}"/>
    <cellStyle name="_KT (2)_2_TG-TH_Book1_THANHLOC Khai Hung" xfId="235" xr:uid="{00000000-0005-0000-0000-000030010000}"/>
    <cellStyle name="_KT (2)_2_TG-TH_Book1_THANHLOC Khai Hung_Song tra-750-tram nen" xfId="236" xr:uid="{00000000-0005-0000-0000-000031010000}"/>
    <cellStyle name="_KT (2)_2_TG-TH_Book1_THANHLOC Khai Hung_Song tra-750-tram nen 2" xfId="2744" xr:uid="{00000000-0005-0000-0000-000032010000}"/>
    <cellStyle name="_KT (2)_2_TG-TH_Book1_Truong day nghe (20.1.06)" xfId="237" xr:uid="{00000000-0005-0000-0000-000033010000}"/>
    <cellStyle name="_KT (2)_2_TG-TH_Book1_Truong day nghe (20.1.06) 2" xfId="2745" xr:uid="{00000000-0005-0000-0000-000034010000}"/>
    <cellStyle name="_KT (2)_2_TG-TH_DAU NOI PL-CL TAI PHU LAMHC" xfId="238" xr:uid="{00000000-0005-0000-0000-000035010000}"/>
    <cellStyle name="_KT (2)_2_TG-TH_DAU NOI PL-CL TAI PHU LAMHC_Song tra-750-tram nen" xfId="239" xr:uid="{00000000-0005-0000-0000-000036010000}"/>
    <cellStyle name="_KT (2)_2_TG-TH_DAU NOI PL-CL TAI PHU LAMHC_Song tra-750-tram nen 2" xfId="2746" xr:uid="{00000000-0005-0000-0000-000037010000}"/>
    <cellStyle name="_KT (2)_2_TG-TH_Dien Ke thon Phuoc Nhon 2" xfId="240" xr:uid="{00000000-0005-0000-0000-000038010000}"/>
    <cellStyle name="_KT (2)_2_TG-TH_DT Ngoc Ha" xfId="241" xr:uid="{00000000-0005-0000-0000-000039010000}"/>
    <cellStyle name="_KT (2)_2_TG-TH_DT Ngoc Ha_Song tra-750-tram nen" xfId="242" xr:uid="{00000000-0005-0000-0000-00003A010000}"/>
    <cellStyle name="_KT (2)_2_TG-TH_DT Ngoc Ha_Song tra-750-tram nen 2" xfId="2747" xr:uid="{00000000-0005-0000-0000-00003B010000}"/>
    <cellStyle name="_KT (2)_2_TG-TH_DTCDT MR.2N110.HOCMON.TDTOAN.CCUNG" xfId="243" xr:uid="{00000000-0005-0000-0000-00003C010000}"/>
    <cellStyle name="_KT (2)_2_TG-TH_DTCDT MR.2N110.HOCMON.TDTOAN.CCUNG_Song tra-750-tram nen" xfId="244" xr:uid="{00000000-0005-0000-0000-00003D010000}"/>
    <cellStyle name="_KT (2)_2_TG-TH_DTCDT MR.2N110.HOCMON.TDTOAN.CCUNG_Song tra-750-tram nen 2" xfId="2748" xr:uid="{00000000-0005-0000-0000-00003E010000}"/>
    <cellStyle name="_KT (2)_2_TG-TH_Du toan thay ong ep va da composite sua" xfId="3837" xr:uid="{00000000-0005-0000-0000-00003F010000}"/>
    <cellStyle name="_KT (2)_2_TG-TH_Du toan tram GDEN2 giai doan 2" xfId="245" xr:uid="{00000000-0005-0000-0000-000040010000}"/>
    <cellStyle name="_KT (2)_2_TG-TH_Du toan tram PHUOC NHON 2 giai doan 2" xfId="246" xr:uid="{00000000-0005-0000-0000-000041010000}"/>
    <cellStyle name="_KT (2)_2_TG-TH_Dutoan NC 22 khu vuc san bay  09-2006moi" xfId="3838" xr:uid="{00000000-0005-0000-0000-000042010000}"/>
    <cellStyle name="_KT (2)_2_TG-TH_DUTOAN_DAMDOI_PD1" xfId="247" xr:uid="{00000000-0005-0000-0000-000043010000}"/>
    <cellStyle name="_KT (2)_2_TG-TH_DUTOAN_DAMDOI_PD1_Song tra-750-tram nen" xfId="248" xr:uid="{00000000-0005-0000-0000-000044010000}"/>
    <cellStyle name="_KT (2)_2_TG-TH_DUTOAN_DAMDOI_PD1_Song tra-750-tram nen 2" xfId="2749" xr:uid="{00000000-0005-0000-0000-000045010000}"/>
    <cellStyle name="_KT (2)_2_TG-TH_KH2-06 PT LHT Binh Thanh 2003" xfId="249" xr:uid="{00000000-0005-0000-0000-000046010000}"/>
    <cellStyle name="_KT (2)_2_TG-TH_KH2-06 PT LHT Binh Thanh 2003_Book1" xfId="250" xr:uid="{00000000-0005-0000-0000-000047010000}"/>
    <cellStyle name="_KT (2)_2_TG-TH_KH2-06 PT LHT Binh Thanh 2003_Book1_Song tra-750-tram nen" xfId="251" xr:uid="{00000000-0005-0000-0000-000048010000}"/>
    <cellStyle name="_KT (2)_2_TG-TH_KH2-06 PT LHT Binh Thanh 2003_Book1_Song tra-750-tram nen 2" xfId="2750" xr:uid="{00000000-0005-0000-0000-000049010000}"/>
    <cellStyle name="_KT (2)_2_TG-TH_KH2-06 PT LHT Binh Thanh 2003_Song tra-750-tram nen" xfId="252" xr:uid="{00000000-0005-0000-0000-00004A010000}"/>
    <cellStyle name="_KT (2)_2_TG-TH_KH2-06 PT LHT Binh Thanh 2003_Song tra-750-tram nen 2" xfId="2751" xr:uid="{00000000-0005-0000-0000-00004B010000}"/>
    <cellStyle name="_KT (2)_2_TG-TH_KH2-06 PT LHT Binh Thanh 2003_trinh bao gia" xfId="253" xr:uid="{00000000-0005-0000-0000-00004C010000}"/>
    <cellStyle name="_KT (2)_2_TG-TH_KH2-06 PT LHT Binh Thanh 2003_trinh bao gia_06 Thuy san Ninh Phuoc (luu 21-06)" xfId="254" xr:uid="{00000000-0005-0000-0000-00004D010000}"/>
    <cellStyle name="_KT (2)_2_TG-TH_KH2-06 PT LHT Binh Thanh 2003_trinh bao gia_BAO TRO XH-DU TOAN" xfId="255" xr:uid="{00000000-0005-0000-0000-00004E010000}"/>
    <cellStyle name="_KT (2)_2_TG-TH_KH2-06 PT LHT Binh Thanh 2003_trinh bao gia_BD" xfId="256" xr:uid="{00000000-0005-0000-0000-00004F010000}"/>
    <cellStyle name="_KT (2)_2_TG-TH_KH2-06 PT LHT Binh Thanh 2003_trinh bao gia_DI DOI TRUONG LE QUY DON-HC HOAN CONG" xfId="257" xr:uid="{00000000-0005-0000-0000-000050010000}"/>
    <cellStyle name="_KT (2)_2_TG-TH_KH2-06 PT LHT Binh Thanh 2003_trinh bao gia_DUONG DOI TAN HOI-NEW 21-8-2006" xfId="258" xr:uid="{00000000-0005-0000-0000-000051010000}"/>
    <cellStyle name="_KT (2)_2_TG-TH_KH2-06 PT LHT Binh Thanh 2003_trinh bao gia_DUONG DOI THI XA-THU HOI-HC 2-3-07 xls" xfId="259" xr:uid="{00000000-0005-0000-0000-000052010000}"/>
    <cellStyle name="_KT (2)_2_TG-TH_KH2-06 PT LHT Binh Thanh 2003_trinh bao gia_DUONG DOI THI XA-THU HOI-HC 2-3-07 xls_Song tra-750-tram nen" xfId="260" xr:uid="{00000000-0005-0000-0000-000053010000}"/>
    <cellStyle name="_KT (2)_2_TG-TH_KH2-06 PT LHT Binh Thanh 2003_trinh bao gia_DUONG DOI THI XA-THU HOI-HC 2-3-07 xls_Song tra-750-tram nen 2" xfId="2752" xr:uid="{00000000-0005-0000-0000-000054010000}"/>
    <cellStyle name="_KT (2)_2_TG-TH_KH2-06 PT LHT Binh Thanh 2003_trinh bao gia_Gia cuoc van chuyen" xfId="261" xr:uid="{00000000-0005-0000-0000-000055010000}"/>
    <cellStyle name="_KT (2)_2_TG-TH_KH2-06 PT LHT Binh Thanh 2003_trinh bao gia_Khu dan cu SO 2(TK BV-TC)-1" xfId="262" xr:uid="{00000000-0005-0000-0000-000056010000}"/>
    <cellStyle name="_KT (2)_2_TG-TH_KH2-06 PT LHT Binh Thanh 2003_trinh bao gia_KHU DAN CU SUOI VANG" xfId="263" xr:uid="{00000000-0005-0000-0000-000057010000}"/>
    <cellStyle name="_KT (2)_2_TG-TH_KH2-06 PT LHT Binh Thanh 2003_trinh bao gia_Khu TDC Phuoc Trung" xfId="264" xr:uid="{00000000-0005-0000-0000-000058010000}"/>
    <cellStyle name="_KT (2)_2_TG-TH_KH2-06 PT LHT Binh Thanh 2003_trinh bao gia_Pham Van Thanh" xfId="265" xr:uid="{00000000-0005-0000-0000-000059010000}"/>
    <cellStyle name="_KT (2)_2_TG-TH_KH2-06 PT LHT Binh Thanh 2003_trinh bao gia_Phuoc My Giai Doan 3-gia moi-14-10-uni" xfId="266" xr:uid="{00000000-0005-0000-0000-00005A010000}"/>
    <cellStyle name="_KT (2)_2_TG-TH_KH2-06 PT LHT Binh Thanh 2003_trinh bao gia_Song tra-750-tram nen" xfId="267" xr:uid="{00000000-0005-0000-0000-00005B010000}"/>
    <cellStyle name="_KT (2)_2_TG-TH_KH2-06 PT LHT Binh Thanh 2003_trinh bao gia_Song tra-750-tram nen 2" xfId="2753" xr:uid="{00000000-0005-0000-0000-00005C010000}"/>
    <cellStyle name="_KT (2)_2_TG-TH_KH2-06 PT LHT Binh Thanh 2003_trinh bao gia_Thuan Bac-sua lai" xfId="268" xr:uid="{00000000-0005-0000-0000-00005D010000}"/>
    <cellStyle name="_KT (2)_2_TG-TH_KH2-06 PT LHT Binh Thanh 2003_trinh bao gia_VKim" xfId="269" xr:uid="{00000000-0005-0000-0000-00005E010000}"/>
    <cellStyle name="_KT (2)_2_TG-TH_KINH DOANH_ SCL 2015" xfId="3839" xr:uid="{00000000-0005-0000-0000-00005F010000}"/>
    <cellStyle name="_KT (2)_2_TG-TH_Lora-tungchau" xfId="270" xr:uid="{00000000-0005-0000-0000-000060010000}"/>
    <cellStyle name="_KT (2)_2_TG-TH_Lora-tungchau_Song tra-750-tram nen" xfId="271" xr:uid="{00000000-0005-0000-0000-000061010000}"/>
    <cellStyle name="_KT (2)_2_TG-TH_Lora-tungchau_Song tra-750-tram nen 2" xfId="2754" xr:uid="{00000000-0005-0000-0000-000062010000}"/>
    <cellStyle name="_KT (2)_2_TG-TH_MUOI TINH PHUOC MINH" xfId="272" xr:uid="{00000000-0005-0000-0000-000063010000}"/>
    <cellStyle name="_KT (2)_2_TG-TH_MUOI TINH PHUOC MINH_Song tra-750-tram nen" xfId="273" xr:uid="{00000000-0005-0000-0000-000064010000}"/>
    <cellStyle name="_KT (2)_2_TG-TH_MUOI TINH PHUOC MINH_Song tra-750-tram nen 2" xfId="2755" xr:uid="{00000000-0005-0000-0000-000065010000}"/>
    <cellStyle name="_KT (2)_2_TG-TH_PGIA-phieu tham tra Kho bac" xfId="274" xr:uid="{00000000-0005-0000-0000-000066010000}"/>
    <cellStyle name="_KT (2)_2_TG-TH_PGIA-phieu tham tra Kho bac_Book1" xfId="275" xr:uid="{00000000-0005-0000-0000-000067010000}"/>
    <cellStyle name="_KT (2)_2_TG-TH_PGIA-phieu tham tra Kho bac_Book1_Song tra-750-tram nen" xfId="276" xr:uid="{00000000-0005-0000-0000-000068010000}"/>
    <cellStyle name="_KT (2)_2_TG-TH_PGIA-phieu tham tra Kho bac_Book1_Song tra-750-tram nen 2" xfId="2756" xr:uid="{00000000-0005-0000-0000-000069010000}"/>
    <cellStyle name="_KT (2)_2_TG-TH_PGIA-phieu tham tra Kho bac_DT Ngoc Ha" xfId="277" xr:uid="{00000000-0005-0000-0000-00006A010000}"/>
    <cellStyle name="_KT (2)_2_TG-TH_PGIA-phieu tham tra Kho bac_DT Ngoc Ha_Song tra-750-tram nen" xfId="278" xr:uid="{00000000-0005-0000-0000-00006B010000}"/>
    <cellStyle name="_KT (2)_2_TG-TH_PGIA-phieu tham tra Kho bac_DT Ngoc Ha_Song tra-750-tram nen 2" xfId="2757" xr:uid="{00000000-0005-0000-0000-00006C010000}"/>
    <cellStyle name="_KT (2)_2_TG-TH_PGIA-phieu tham tra Kho bac_MUOI TINH PHUOC MINH" xfId="279" xr:uid="{00000000-0005-0000-0000-00006D010000}"/>
    <cellStyle name="_KT (2)_2_TG-TH_PGIA-phieu tham tra Kho bac_MUOI TINH PHUOC MINH_Song tra-750-tram nen" xfId="280" xr:uid="{00000000-0005-0000-0000-00006E010000}"/>
    <cellStyle name="_KT (2)_2_TG-TH_PGIA-phieu tham tra Kho bac_MUOI TINH PHUOC MINH_Song tra-750-tram nen 2" xfId="2758" xr:uid="{00000000-0005-0000-0000-00006F010000}"/>
    <cellStyle name="_KT (2)_2_TG-TH_PGIA-phieu tham tra Kho bac_Song tra-750-tram nen" xfId="281" xr:uid="{00000000-0005-0000-0000-000070010000}"/>
    <cellStyle name="_KT (2)_2_TG-TH_PGIA-phieu tham tra Kho bac_Song tra-750-tram nen 2" xfId="2759" xr:uid="{00000000-0005-0000-0000-000071010000}"/>
    <cellStyle name="_KT (2)_2_TG-TH_PGIA-phieu tham tra Kho bac_TDC Tan My" xfId="282" xr:uid="{00000000-0005-0000-0000-000072010000}"/>
    <cellStyle name="_KT (2)_2_TG-TH_PGIA-phieu tham tra Kho bac_TDC Tan My_Song tra-750-tram nen" xfId="283" xr:uid="{00000000-0005-0000-0000-000073010000}"/>
    <cellStyle name="_KT (2)_2_TG-TH_PGIA-phieu tham tra Kho bac_TDC Tan My_Song tra-750-tram nen 2" xfId="2760" xr:uid="{00000000-0005-0000-0000-000074010000}"/>
    <cellStyle name="_KT (2)_2_TG-TH_PGIA-phieu tham tra Kho bac_trinh bao gia" xfId="284" xr:uid="{00000000-0005-0000-0000-000075010000}"/>
    <cellStyle name="_KT (2)_2_TG-TH_PGIA-phieu tham tra Kho bac_trinh bao gia_06 Thuy san Ninh Phuoc (luu 21-06)" xfId="285" xr:uid="{00000000-0005-0000-0000-000076010000}"/>
    <cellStyle name="_KT (2)_2_TG-TH_PGIA-phieu tham tra Kho bac_trinh bao gia_BAO TRO XH-DU TOAN" xfId="286" xr:uid="{00000000-0005-0000-0000-000077010000}"/>
    <cellStyle name="_KT (2)_2_TG-TH_PGIA-phieu tham tra Kho bac_trinh bao gia_BD" xfId="287" xr:uid="{00000000-0005-0000-0000-000078010000}"/>
    <cellStyle name="_KT (2)_2_TG-TH_PGIA-phieu tham tra Kho bac_trinh bao gia_DI DOI TRUONG LE QUY DON-HC HOAN CONG" xfId="288" xr:uid="{00000000-0005-0000-0000-000079010000}"/>
    <cellStyle name="_KT (2)_2_TG-TH_PGIA-phieu tham tra Kho bac_trinh bao gia_DUONG DOI TAN HOI-NEW 21-8-2006" xfId="289" xr:uid="{00000000-0005-0000-0000-00007A010000}"/>
    <cellStyle name="_KT (2)_2_TG-TH_PGIA-phieu tham tra Kho bac_trinh bao gia_DUONG DOI THI XA-THU HOI-HC 2-3-07 xls" xfId="290" xr:uid="{00000000-0005-0000-0000-00007B010000}"/>
    <cellStyle name="_KT (2)_2_TG-TH_PGIA-phieu tham tra Kho bac_trinh bao gia_DUONG DOI THI XA-THU HOI-HC 2-3-07 xls_Song tra-750-tram nen" xfId="291" xr:uid="{00000000-0005-0000-0000-00007C010000}"/>
    <cellStyle name="_KT (2)_2_TG-TH_PGIA-phieu tham tra Kho bac_trinh bao gia_DUONG DOI THI XA-THU HOI-HC 2-3-07 xls_Song tra-750-tram nen 2" xfId="2761" xr:uid="{00000000-0005-0000-0000-00007D010000}"/>
    <cellStyle name="_KT (2)_2_TG-TH_PGIA-phieu tham tra Kho bac_trinh bao gia_Gia cuoc van chuyen" xfId="292" xr:uid="{00000000-0005-0000-0000-00007E010000}"/>
    <cellStyle name="_KT (2)_2_TG-TH_PGIA-phieu tham tra Kho bac_trinh bao gia_Khu dan cu SO 2(TK BV-TC)-1" xfId="293" xr:uid="{00000000-0005-0000-0000-00007F010000}"/>
    <cellStyle name="_KT (2)_2_TG-TH_PGIA-phieu tham tra Kho bac_trinh bao gia_KHU DAN CU SUOI VANG" xfId="294" xr:uid="{00000000-0005-0000-0000-000080010000}"/>
    <cellStyle name="_KT (2)_2_TG-TH_PGIA-phieu tham tra Kho bac_trinh bao gia_Khu TDC Phuoc Trung" xfId="295" xr:uid="{00000000-0005-0000-0000-000081010000}"/>
    <cellStyle name="_KT (2)_2_TG-TH_PGIA-phieu tham tra Kho bac_trinh bao gia_Pham Van Thanh" xfId="296" xr:uid="{00000000-0005-0000-0000-000082010000}"/>
    <cellStyle name="_KT (2)_2_TG-TH_PGIA-phieu tham tra Kho bac_trinh bao gia_Phuoc My Giai Doan 3-gia moi-14-10-uni" xfId="297" xr:uid="{00000000-0005-0000-0000-000083010000}"/>
    <cellStyle name="_KT (2)_2_TG-TH_PGIA-phieu tham tra Kho bac_trinh bao gia_Song tra-750-tram nen" xfId="298" xr:uid="{00000000-0005-0000-0000-000084010000}"/>
    <cellStyle name="_KT (2)_2_TG-TH_PGIA-phieu tham tra Kho bac_trinh bao gia_Song tra-750-tram nen 2" xfId="2762" xr:uid="{00000000-0005-0000-0000-000085010000}"/>
    <cellStyle name="_KT (2)_2_TG-TH_PGIA-phieu tham tra Kho bac_trinh bao gia_Thuan Bac-sua lai" xfId="299" xr:uid="{00000000-0005-0000-0000-000086010000}"/>
    <cellStyle name="_KT (2)_2_TG-TH_PGIA-phieu tham tra Kho bac_trinh bao gia_VKim" xfId="300" xr:uid="{00000000-0005-0000-0000-000087010000}"/>
    <cellStyle name="_KT (2)_2_TG-TH_PGIA-phieu tham tra Kho bac_Truong day nghe (20.1.06)" xfId="301" xr:uid="{00000000-0005-0000-0000-000088010000}"/>
    <cellStyle name="_KT (2)_2_TG-TH_PGIA-phieu tham tra Kho bac_Truong day nghe (20.1.06) 2" xfId="2763" xr:uid="{00000000-0005-0000-0000-000089010000}"/>
    <cellStyle name="_KT (2)_2_TG-TH_PHUOC HUU" xfId="302" xr:uid="{00000000-0005-0000-0000-00008A010000}"/>
    <cellStyle name="_KT (2)_2_TG-TH_PHUOC HUU_Song tra-750-tram nen" xfId="303" xr:uid="{00000000-0005-0000-0000-00008B010000}"/>
    <cellStyle name="_KT (2)_2_TG-TH_PHUOC HUU_Song tra-750-tram nen 2" xfId="2764" xr:uid="{00000000-0005-0000-0000-00008C010000}"/>
    <cellStyle name="_KT (2)_2_TG-TH_PT02-02" xfId="304" xr:uid="{00000000-0005-0000-0000-00008D010000}"/>
    <cellStyle name="_KT (2)_2_TG-TH_PT02-02_Book1" xfId="305" xr:uid="{00000000-0005-0000-0000-00008E010000}"/>
    <cellStyle name="_KT (2)_2_TG-TH_PT02-02_Book1_Song tra-750-tram nen" xfId="306" xr:uid="{00000000-0005-0000-0000-00008F010000}"/>
    <cellStyle name="_KT (2)_2_TG-TH_PT02-02_Book1_Song tra-750-tram nen 2" xfId="2765" xr:uid="{00000000-0005-0000-0000-000090010000}"/>
    <cellStyle name="_KT (2)_2_TG-TH_PT02-02_DT Ngoc Ha" xfId="307" xr:uid="{00000000-0005-0000-0000-000091010000}"/>
    <cellStyle name="_KT (2)_2_TG-TH_PT02-02_DT Ngoc Ha_Song tra-750-tram nen" xfId="308" xr:uid="{00000000-0005-0000-0000-000092010000}"/>
    <cellStyle name="_KT (2)_2_TG-TH_PT02-02_DT Ngoc Ha_Song tra-750-tram nen 2" xfId="2766" xr:uid="{00000000-0005-0000-0000-000093010000}"/>
    <cellStyle name="_KT (2)_2_TG-TH_PT02-02_MUOI TINH PHUOC MINH" xfId="309" xr:uid="{00000000-0005-0000-0000-000094010000}"/>
    <cellStyle name="_KT (2)_2_TG-TH_PT02-02_MUOI TINH PHUOC MINH_Song tra-750-tram nen" xfId="310" xr:uid="{00000000-0005-0000-0000-000095010000}"/>
    <cellStyle name="_KT (2)_2_TG-TH_PT02-02_MUOI TINH PHUOC MINH_Song tra-750-tram nen 2" xfId="2767" xr:uid="{00000000-0005-0000-0000-000096010000}"/>
    <cellStyle name="_KT (2)_2_TG-TH_PT02-02_Song tra-750-tram nen" xfId="311" xr:uid="{00000000-0005-0000-0000-000097010000}"/>
    <cellStyle name="_KT (2)_2_TG-TH_PT02-02_Song tra-750-tram nen 2" xfId="2768" xr:uid="{00000000-0005-0000-0000-000098010000}"/>
    <cellStyle name="_KT (2)_2_TG-TH_PT02-02_TDC Tan My" xfId="312" xr:uid="{00000000-0005-0000-0000-000099010000}"/>
    <cellStyle name="_KT (2)_2_TG-TH_PT02-02_TDC Tan My_Song tra-750-tram nen" xfId="313" xr:uid="{00000000-0005-0000-0000-00009A010000}"/>
    <cellStyle name="_KT (2)_2_TG-TH_PT02-02_TDC Tan My_Song tra-750-tram nen 2" xfId="2769" xr:uid="{00000000-0005-0000-0000-00009B010000}"/>
    <cellStyle name="_KT (2)_2_TG-TH_PT02-02_trinh bao gia" xfId="314" xr:uid="{00000000-0005-0000-0000-00009C010000}"/>
    <cellStyle name="_KT (2)_2_TG-TH_PT02-02_trinh bao gia_06 Thuy san Ninh Phuoc (luu 21-06)" xfId="315" xr:uid="{00000000-0005-0000-0000-00009D010000}"/>
    <cellStyle name="_KT (2)_2_TG-TH_PT02-02_trinh bao gia_BAO TRO XH-DU TOAN" xfId="316" xr:uid="{00000000-0005-0000-0000-00009E010000}"/>
    <cellStyle name="_KT (2)_2_TG-TH_PT02-02_trinh bao gia_BD" xfId="317" xr:uid="{00000000-0005-0000-0000-00009F010000}"/>
    <cellStyle name="_KT (2)_2_TG-TH_PT02-02_trinh bao gia_DI DOI TRUONG LE QUY DON-HC HOAN CONG" xfId="318" xr:uid="{00000000-0005-0000-0000-0000A0010000}"/>
    <cellStyle name="_KT (2)_2_TG-TH_PT02-02_trinh bao gia_DUONG DOI TAN HOI-NEW 21-8-2006" xfId="319" xr:uid="{00000000-0005-0000-0000-0000A1010000}"/>
    <cellStyle name="_KT (2)_2_TG-TH_PT02-02_trinh bao gia_DUONG DOI THI XA-THU HOI-HC 2-3-07 xls" xfId="320" xr:uid="{00000000-0005-0000-0000-0000A2010000}"/>
    <cellStyle name="_KT (2)_2_TG-TH_PT02-02_trinh bao gia_DUONG DOI THI XA-THU HOI-HC 2-3-07 xls_Song tra-750-tram nen" xfId="321" xr:uid="{00000000-0005-0000-0000-0000A3010000}"/>
    <cellStyle name="_KT (2)_2_TG-TH_PT02-02_trinh bao gia_DUONG DOI THI XA-THU HOI-HC 2-3-07 xls_Song tra-750-tram nen 2" xfId="2770" xr:uid="{00000000-0005-0000-0000-0000A4010000}"/>
    <cellStyle name="_KT (2)_2_TG-TH_PT02-02_trinh bao gia_Gia cuoc van chuyen" xfId="322" xr:uid="{00000000-0005-0000-0000-0000A5010000}"/>
    <cellStyle name="_KT (2)_2_TG-TH_PT02-02_trinh bao gia_Khu dan cu SO 2(TK BV-TC)-1" xfId="323" xr:uid="{00000000-0005-0000-0000-0000A6010000}"/>
    <cellStyle name="_KT (2)_2_TG-TH_PT02-02_trinh bao gia_KHU DAN CU SUOI VANG" xfId="324" xr:uid="{00000000-0005-0000-0000-0000A7010000}"/>
    <cellStyle name="_KT (2)_2_TG-TH_PT02-02_trinh bao gia_Khu TDC Phuoc Trung" xfId="325" xr:uid="{00000000-0005-0000-0000-0000A8010000}"/>
    <cellStyle name="_KT (2)_2_TG-TH_PT02-02_trinh bao gia_Pham Van Thanh" xfId="326" xr:uid="{00000000-0005-0000-0000-0000A9010000}"/>
    <cellStyle name="_KT (2)_2_TG-TH_PT02-02_trinh bao gia_Phuoc My Giai Doan 3-gia moi-14-10-uni" xfId="327" xr:uid="{00000000-0005-0000-0000-0000AA010000}"/>
    <cellStyle name="_KT (2)_2_TG-TH_PT02-02_trinh bao gia_Song tra-750-tram nen" xfId="328" xr:uid="{00000000-0005-0000-0000-0000AB010000}"/>
    <cellStyle name="_KT (2)_2_TG-TH_PT02-02_trinh bao gia_Song tra-750-tram nen 2" xfId="2771" xr:uid="{00000000-0005-0000-0000-0000AC010000}"/>
    <cellStyle name="_KT (2)_2_TG-TH_PT02-02_trinh bao gia_Thuan Bac-sua lai" xfId="329" xr:uid="{00000000-0005-0000-0000-0000AD010000}"/>
    <cellStyle name="_KT (2)_2_TG-TH_PT02-02_trinh bao gia_VKim" xfId="330" xr:uid="{00000000-0005-0000-0000-0000AE010000}"/>
    <cellStyle name="_KT (2)_2_TG-TH_PT02-02_Truong day nghe (20.1.06)" xfId="331" xr:uid="{00000000-0005-0000-0000-0000AF010000}"/>
    <cellStyle name="_KT (2)_2_TG-TH_PT02-02_Truong day nghe (20.1.06) 2" xfId="2772" xr:uid="{00000000-0005-0000-0000-0000B0010000}"/>
    <cellStyle name="_KT (2)_2_TG-TH_PT02-03" xfId="332" xr:uid="{00000000-0005-0000-0000-0000B1010000}"/>
    <cellStyle name="_KT (2)_2_TG-TH_PT02-03_Book1" xfId="333" xr:uid="{00000000-0005-0000-0000-0000B2010000}"/>
    <cellStyle name="_KT (2)_2_TG-TH_PT02-03_Book1_Song tra-750-tram nen" xfId="334" xr:uid="{00000000-0005-0000-0000-0000B3010000}"/>
    <cellStyle name="_KT (2)_2_TG-TH_PT02-03_Book1_Song tra-750-tram nen 2" xfId="2773" xr:uid="{00000000-0005-0000-0000-0000B4010000}"/>
    <cellStyle name="_KT (2)_2_TG-TH_PT02-03_DT Ngoc Ha" xfId="335" xr:uid="{00000000-0005-0000-0000-0000B5010000}"/>
    <cellStyle name="_KT (2)_2_TG-TH_PT02-03_DT Ngoc Ha_Song tra-750-tram nen" xfId="336" xr:uid="{00000000-0005-0000-0000-0000B6010000}"/>
    <cellStyle name="_KT (2)_2_TG-TH_PT02-03_DT Ngoc Ha_Song tra-750-tram nen 2" xfId="2774" xr:uid="{00000000-0005-0000-0000-0000B7010000}"/>
    <cellStyle name="_KT (2)_2_TG-TH_PT02-03_MUOI TINH PHUOC MINH" xfId="337" xr:uid="{00000000-0005-0000-0000-0000B8010000}"/>
    <cellStyle name="_KT (2)_2_TG-TH_PT02-03_MUOI TINH PHUOC MINH_Song tra-750-tram nen" xfId="338" xr:uid="{00000000-0005-0000-0000-0000B9010000}"/>
    <cellStyle name="_KT (2)_2_TG-TH_PT02-03_MUOI TINH PHUOC MINH_Song tra-750-tram nen 2" xfId="2775" xr:uid="{00000000-0005-0000-0000-0000BA010000}"/>
    <cellStyle name="_KT (2)_2_TG-TH_PT02-03_Song tra-750-tram nen" xfId="339" xr:uid="{00000000-0005-0000-0000-0000BB010000}"/>
    <cellStyle name="_KT (2)_2_TG-TH_PT02-03_Song tra-750-tram nen 2" xfId="2776" xr:uid="{00000000-0005-0000-0000-0000BC010000}"/>
    <cellStyle name="_KT (2)_2_TG-TH_PT02-03_TDC Tan My" xfId="340" xr:uid="{00000000-0005-0000-0000-0000BD010000}"/>
    <cellStyle name="_KT (2)_2_TG-TH_PT02-03_TDC Tan My_Song tra-750-tram nen" xfId="341" xr:uid="{00000000-0005-0000-0000-0000BE010000}"/>
    <cellStyle name="_KT (2)_2_TG-TH_PT02-03_TDC Tan My_Song tra-750-tram nen 2" xfId="2777" xr:uid="{00000000-0005-0000-0000-0000BF010000}"/>
    <cellStyle name="_KT (2)_2_TG-TH_PT02-03_trinh bao gia" xfId="342" xr:uid="{00000000-0005-0000-0000-0000C0010000}"/>
    <cellStyle name="_KT (2)_2_TG-TH_PT02-03_trinh bao gia_06 Thuy san Ninh Phuoc (luu 21-06)" xfId="343" xr:uid="{00000000-0005-0000-0000-0000C1010000}"/>
    <cellStyle name="_KT (2)_2_TG-TH_PT02-03_trinh bao gia_BAO TRO XH-DU TOAN" xfId="344" xr:uid="{00000000-0005-0000-0000-0000C2010000}"/>
    <cellStyle name="_KT (2)_2_TG-TH_PT02-03_trinh bao gia_BD" xfId="345" xr:uid="{00000000-0005-0000-0000-0000C3010000}"/>
    <cellStyle name="_KT (2)_2_TG-TH_PT02-03_trinh bao gia_DI DOI TRUONG LE QUY DON-HC HOAN CONG" xfId="346" xr:uid="{00000000-0005-0000-0000-0000C4010000}"/>
    <cellStyle name="_KT (2)_2_TG-TH_PT02-03_trinh bao gia_DUONG DOI TAN HOI-NEW 21-8-2006" xfId="347" xr:uid="{00000000-0005-0000-0000-0000C5010000}"/>
    <cellStyle name="_KT (2)_2_TG-TH_PT02-03_trinh bao gia_DUONG DOI THI XA-THU HOI-HC 2-3-07 xls" xfId="348" xr:uid="{00000000-0005-0000-0000-0000C6010000}"/>
    <cellStyle name="_KT (2)_2_TG-TH_PT02-03_trinh bao gia_DUONG DOI THI XA-THU HOI-HC 2-3-07 xls_Song tra-750-tram nen" xfId="349" xr:uid="{00000000-0005-0000-0000-0000C7010000}"/>
    <cellStyle name="_KT (2)_2_TG-TH_PT02-03_trinh bao gia_DUONG DOI THI XA-THU HOI-HC 2-3-07 xls_Song tra-750-tram nen 2" xfId="2778" xr:uid="{00000000-0005-0000-0000-0000C8010000}"/>
    <cellStyle name="_KT (2)_2_TG-TH_PT02-03_trinh bao gia_Gia cuoc van chuyen" xfId="350" xr:uid="{00000000-0005-0000-0000-0000C9010000}"/>
    <cellStyle name="_KT (2)_2_TG-TH_PT02-03_trinh bao gia_Khu dan cu SO 2(TK BV-TC)-1" xfId="351" xr:uid="{00000000-0005-0000-0000-0000CA010000}"/>
    <cellStyle name="_KT (2)_2_TG-TH_PT02-03_trinh bao gia_KHU DAN CU SUOI VANG" xfId="352" xr:uid="{00000000-0005-0000-0000-0000CB010000}"/>
    <cellStyle name="_KT (2)_2_TG-TH_PT02-03_trinh bao gia_Khu TDC Phuoc Trung" xfId="353" xr:uid="{00000000-0005-0000-0000-0000CC010000}"/>
    <cellStyle name="_KT (2)_2_TG-TH_PT02-03_trinh bao gia_Pham Van Thanh" xfId="354" xr:uid="{00000000-0005-0000-0000-0000CD010000}"/>
    <cellStyle name="_KT (2)_2_TG-TH_PT02-03_trinh bao gia_Phuoc My Giai Doan 3-gia moi-14-10-uni" xfId="355" xr:uid="{00000000-0005-0000-0000-0000CE010000}"/>
    <cellStyle name="_KT (2)_2_TG-TH_PT02-03_trinh bao gia_Song tra-750-tram nen" xfId="356" xr:uid="{00000000-0005-0000-0000-0000CF010000}"/>
    <cellStyle name="_KT (2)_2_TG-TH_PT02-03_trinh bao gia_Song tra-750-tram nen 2" xfId="2779" xr:uid="{00000000-0005-0000-0000-0000D0010000}"/>
    <cellStyle name="_KT (2)_2_TG-TH_PT02-03_trinh bao gia_Thuan Bac-sua lai" xfId="357" xr:uid="{00000000-0005-0000-0000-0000D1010000}"/>
    <cellStyle name="_KT (2)_2_TG-TH_PT02-03_trinh bao gia_VKim" xfId="358" xr:uid="{00000000-0005-0000-0000-0000D2010000}"/>
    <cellStyle name="_KT (2)_2_TG-TH_PT02-03_Truong day nghe (20.1.06)" xfId="359" xr:uid="{00000000-0005-0000-0000-0000D3010000}"/>
    <cellStyle name="_KT (2)_2_TG-TH_PT02-03_Truong day nghe (20.1.06) 2" xfId="2780" xr:uid="{00000000-0005-0000-0000-0000D4010000}"/>
    <cellStyle name="_KT (2)_2_TG-TH_Qt-HT3PQ1(CauKho)" xfId="360" xr:uid="{00000000-0005-0000-0000-0000D5010000}"/>
    <cellStyle name="_KT (2)_2_TG-TH_Qt-HT3PQ1(CauKho)_Song tra-750-tram nen" xfId="361" xr:uid="{00000000-0005-0000-0000-0000D6010000}"/>
    <cellStyle name="_KT (2)_2_TG-TH_Qt-HT3PQ1(CauKho)_Song tra-750-tram nen 2" xfId="2781" xr:uid="{00000000-0005-0000-0000-0000D7010000}"/>
    <cellStyle name="_KT (2)_2_TG-TH_SCL 07-Phuoc Hau-unicod" xfId="362" xr:uid="{00000000-0005-0000-0000-0000D8010000}"/>
    <cellStyle name="_KT (2)_2_TG-TH_SCL tram GO DEN - GO THAO" xfId="363" xr:uid="{00000000-0005-0000-0000-0000D9010000}"/>
    <cellStyle name="_KT (2)_2_TG-TH_SO TRU TRUNG AP SCL GUI ANH PHUONG" xfId="3840" xr:uid="{00000000-0005-0000-0000-0000DA010000}"/>
    <cellStyle name="_KT (2)_2_TG-TH_Song tra-750-tram nen" xfId="364" xr:uid="{00000000-0005-0000-0000-0000DB010000}"/>
    <cellStyle name="_KT (2)_2_TG-TH_Song tra-750-tram nen 2" xfId="2782" xr:uid="{00000000-0005-0000-0000-0000DC010000}"/>
    <cellStyle name="_KT (2)_2_TG-TH_sua chua lon Thao 1" xfId="3841" xr:uid="{00000000-0005-0000-0000-0000DD010000}"/>
    <cellStyle name="_KT (2)_2_TG-TH_TDC Tan My" xfId="365" xr:uid="{00000000-0005-0000-0000-0000DE010000}"/>
    <cellStyle name="_KT (2)_2_TG-TH_TDC Tan My_Song tra-750-tram nen" xfId="366" xr:uid="{00000000-0005-0000-0000-0000DF010000}"/>
    <cellStyle name="_KT (2)_2_TG-TH_TDC Tan My_Song tra-750-tram nen 2" xfId="2783" xr:uid="{00000000-0005-0000-0000-0000E0010000}"/>
    <cellStyle name="_KT (2)_2_TG-TH_TDT-MAU2" xfId="367" xr:uid="{00000000-0005-0000-0000-0000E1010000}"/>
    <cellStyle name="_KT (2)_2_TG-TH_TDT-MAU2_Song tra-750-tram nen" xfId="368" xr:uid="{00000000-0005-0000-0000-0000E2010000}"/>
    <cellStyle name="_KT (2)_2_TG-TH_TDT-MAU2_Song tra-750-tram nen 2" xfId="2784" xr:uid="{00000000-0005-0000-0000-0000E3010000}"/>
    <cellStyle name="_KT (2)_2_TG-TH_THANHLOC Khai Hung" xfId="369" xr:uid="{00000000-0005-0000-0000-0000E4010000}"/>
    <cellStyle name="_KT (2)_2_TG-TH_THANHLOC Khai Hung_Book1" xfId="370" xr:uid="{00000000-0005-0000-0000-0000E5010000}"/>
    <cellStyle name="_KT (2)_2_TG-TH_THANHLOC Khai Hung_Book1_Song tra-750-tram nen" xfId="371" xr:uid="{00000000-0005-0000-0000-0000E6010000}"/>
    <cellStyle name="_KT (2)_2_TG-TH_THANHLOC Khai Hung_Book1_Song tra-750-tram nen 2" xfId="2785" xr:uid="{00000000-0005-0000-0000-0000E7010000}"/>
    <cellStyle name="_KT (2)_2_TG-TH_THANHLOC Khai Hung_Song tra-750-tram nen" xfId="372" xr:uid="{00000000-0005-0000-0000-0000E8010000}"/>
    <cellStyle name="_KT (2)_2_TG-TH_THANHLOC Khai Hung_Song tra-750-tram nen 2" xfId="2786" xr:uid="{00000000-0005-0000-0000-0000E9010000}"/>
    <cellStyle name="_KT (2)_2_TG-TH_THANHLOC Khai Hung_trinh bao gia" xfId="373" xr:uid="{00000000-0005-0000-0000-0000EA010000}"/>
    <cellStyle name="_KT (2)_2_TG-TH_THANHLOC Khai Hung_trinh bao gia_06 Thuy san Ninh Phuoc (luu 21-06)" xfId="374" xr:uid="{00000000-0005-0000-0000-0000EB010000}"/>
    <cellStyle name="_KT (2)_2_TG-TH_THANHLOC Khai Hung_trinh bao gia_BAO TRO XH-DU TOAN" xfId="375" xr:uid="{00000000-0005-0000-0000-0000EC010000}"/>
    <cellStyle name="_KT (2)_2_TG-TH_THANHLOC Khai Hung_trinh bao gia_BD" xfId="376" xr:uid="{00000000-0005-0000-0000-0000ED010000}"/>
    <cellStyle name="_KT (2)_2_TG-TH_THANHLOC Khai Hung_trinh bao gia_DI DOI TRUONG LE QUY DON-HC HOAN CONG" xfId="377" xr:uid="{00000000-0005-0000-0000-0000EE010000}"/>
    <cellStyle name="_KT (2)_2_TG-TH_THANHLOC Khai Hung_trinh bao gia_DUONG DOI TAN HOI-NEW 21-8-2006" xfId="378" xr:uid="{00000000-0005-0000-0000-0000EF010000}"/>
    <cellStyle name="_KT (2)_2_TG-TH_THANHLOC Khai Hung_trinh bao gia_DUONG DOI THI XA-THU HOI-HC 2-3-07 xls" xfId="379" xr:uid="{00000000-0005-0000-0000-0000F0010000}"/>
    <cellStyle name="_KT (2)_2_TG-TH_THANHLOC Khai Hung_trinh bao gia_DUONG DOI THI XA-THU HOI-HC 2-3-07 xls_Song tra-750-tram nen" xfId="380" xr:uid="{00000000-0005-0000-0000-0000F1010000}"/>
    <cellStyle name="_KT (2)_2_TG-TH_THANHLOC Khai Hung_trinh bao gia_DUONG DOI THI XA-THU HOI-HC 2-3-07 xls_Song tra-750-tram nen 2" xfId="2787" xr:uid="{00000000-0005-0000-0000-0000F2010000}"/>
    <cellStyle name="_KT (2)_2_TG-TH_THANHLOC Khai Hung_trinh bao gia_Gia cuoc van chuyen" xfId="381" xr:uid="{00000000-0005-0000-0000-0000F3010000}"/>
    <cellStyle name="_KT (2)_2_TG-TH_THANHLOC Khai Hung_trinh bao gia_Khu dan cu SO 2(TK BV-TC)-1" xfId="382" xr:uid="{00000000-0005-0000-0000-0000F4010000}"/>
    <cellStyle name="_KT (2)_2_TG-TH_THANHLOC Khai Hung_trinh bao gia_KHU DAN CU SUOI VANG" xfId="383" xr:uid="{00000000-0005-0000-0000-0000F5010000}"/>
    <cellStyle name="_KT (2)_2_TG-TH_THANHLOC Khai Hung_trinh bao gia_Khu TDC Phuoc Trung" xfId="384" xr:uid="{00000000-0005-0000-0000-0000F6010000}"/>
    <cellStyle name="_KT (2)_2_TG-TH_THANHLOC Khai Hung_trinh bao gia_Pham Van Thanh" xfId="385" xr:uid="{00000000-0005-0000-0000-0000F7010000}"/>
    <cellStyle name="_KT (2)_2_TG-TH_THANHLOC Khai Hung_trinh bao gia_Phuoc My Giai Doan 3-gia moi-14-10-uni" xfId="386" xr:uid="{00000000-0005-0000-0000-0000F8010000}"/>
    <cellStyle name="_KT (2)_2_TG-TH_THANHLOC Khai Hung_trinh bao gia_Song tra-750-tram nen" xfId="387" xr:uid="{00000000-0005-0000-0000-0000F9010000}"/>
    <cellStyle name="_KT (2)_2_TG-TH_THANHLOC Khai Hung_trinh bao gia_Song tra-750-tram nen 2" xfId="2788" xr:uid="{00000000-0005-0000-0000-0000FA010000}"/>
    <cellStyle name="_KT (2)_2_TG-TH_THANHLOC Khai Hung_trinh bao gia_Thuan Bac-sua lai" xfId="388" xr:uid="{00000000-0005-0000-0000-0000FB010000}"/>
    <cellStyle name="_KT (2)_2_TG-TH_THANHLOC Khai Hung_trinh bao gia_VKim" xfId="389" xr:uid="{00000000-0005-0000-0000-0000FC010000}"/>
    <cellStyle name="_KT (2)_2_TG-TH_THG" xfId="390" xr:uid="{00000000-0005-0000-0000-0000FD010000}"/>
    <cellStyle name="_KT (2)_2_TG-TH_THG_Song tra-750-tram nen" xfId="391" xr:uid="{00000000-0005-0000-0000-0000FE010000}"/>
    <cellStyle name="_KT (2)_2_TG-TH_THG_Song tra-750-tram nen 2" xfId="2789" xr:uid="{00000000-0005-0000-0000-0000FF010000}"/>
    <cellStyle name="_KT (2)_2_TG-TH_TONG KE GO DEN-GO THAO" xfId="392" xr:uid="{00000000-0005-0000-0000-000000020000}"/>
    <cellStyle name="_KT (2)_2_TG-TH_Tong ke SCL bo sung 2007" xfId="393" xr:uid="{00000000-0005-0000-0000-000001020000}"/>
    <cellStyle name="_KT (2)_2_TG-TH_Tong ke sua chua DZ dke (xoa tong gd 2)-NLam 2 -Vtu" xfId="394" xr:uid="{00000000-0005-0000-0000-000002020000}"/>
    <cellStyle name="_KT (2)_2_TG-TH_Tong ke sua chua DZ dke (xoa tong gd 2)-NLam-Vtu" xfId="395" xr:uid="{00000000-0005-0000-0000-000003020000}"/>
    <cellStyle name="_KT (2)_2_TG-TH_Tong ke sua chua DZ dke (xoa tong gd 2)-VLam 1" xfId="396" xr:uid="{00000000-0005-0000-0000-000004020000}"/>
    <cellStyle name="_KT (2)_2_TG-TH_Tong ke sua chua DZ dke (xoa tong gd 2)-VLam 2" xfId="397" xr:uid="{00000000-0005-0000-0000-000005020000}"/>
    <cellStyle name="_KT (2)_2_TG-TH_trinh bao gia" xfId="398" xr:uid="{00000000-0005-0000-0000-000006020000}"/>
    <cellStyle name="_KT (2)_2_TG-TH_trinh bao gia_06 Thuy san Ninh Phuoc (luu 21-06)" xfId="399" xr:uid="{00000000-0005-0000-0000-000007020000}"/>
    <cellStyle name="_KT (2)_2_TG-TH_trinh bao gia_BAO TRO XH-DU TOAN" xfId="400" xr:uid="{00000000-0005-0000-0000-000008020000}"/>
    <cellStyle name="_KT (2)_2_TG-TH_trinh bao gia_BD" xfId="401" xr:uid="{00000000-0005-0000-0000-000009020000}"/>
    <cellStyle name="_KT (2)_2_TG-TH_trinh bao gia_DI DOI TRUONG LE QUY DON-HC HOAN CONG" xfId="402" xr:uid="{00000000-0005-0000-0000-00000A020000}"/>
    <cellStyle name="_KT (2)_2_TG-TH_trinh bao gia_DUONG DOI TAN HOI-NEW 21-8-2006" xfId="403" xr:uid="{00000000-0005-0000-0000-00000B020000}"/>
    <cellStyle name="_KT (2)_2_TG-TH_trinh bao gia_DUONG DOI THI XA-THU HOI-HC 2-3-07 xls" xfId="404" xr:uid="{00000000-0005-0000-0000-00000C020000}"/>
    <cellStyle name="_KT (2)_2_TG-TH_trinh bao gia_DUONG DOI THI XA-THU HOI-HC 2-3-07 xls_Song tra-750-tram nen" xfId="405" xr:uid="{00000000-0005-0000-0000-00000D020000}"/>
    <cellStyle name="_KT (2)_2_TG-TH_trinh bao gia_DUONG DOI THI XA-THU HOI-HC 2-3-07 xls_Song tra-750-tram nen 2" xfId="2790" xr:uid="{00000000-0005-0000-0000-00000E020000}"/>
    <cellStyle name="_KT (2)_2_TG-TH_trinh bao gia_Gia cuoc van chuyen" xfId="406" xr:uid="{00000000-0005-0000-0000-00000F020000}"/>
    <cellStyle name="_KT (2)_2_TG-TH_trinh bao gia_Khu dan cu SO 2(TK BV-TC)-1" xfId="407" xr:uid="{00000000-0005-0000-0000-000010020000}"/>
    <cellStyle name="_KT (2)_2_TG-TH_trinh bao gia_KHU DAN CU SUOI VANG" xfId="408" xr:uid="{00000000-0005-0000-0000-000011020000}"/>
    <cellStyle name="_KT (2)_2_TG-TH_trinh bao gia_Khu TDC Phuoc Trung" xfId="409" xr:uid="{00000000-0005-0000-0000-000012020000}"/>
    <cellStyle name="_KT (2)_2_TG-TH_trinh bao gia_Pham Van Thanh" xfId="410" xr:uid="{00000000-0005-0000-0000-000013020000}"/>
    <cellStyle name="_KT (2)_2_TG-TH_trinh bao gia_Phuoc My Giai Doan 3-gia moi-14-10-uni" xfId="411" xr:uid="{00000000-0005-0000-0000-000014020000}"/>
    <cellStyle name="_KT (2)_2_TG-TH_trinh bao gia_Song tra-750-tram nen" xfId="412" xr:uid="{00000000-0005-0000-0000-000015020000}"/>
    <cellStyle name="_KT (2)_2_TG-TH_trinh bao gia_Song tra-750-tram nen 2" xfId="2791" xr:uid="{00000000-0005-0000-0000-000016020000}"/>
    <cellStyle name="_KT (2)_2_TG-TH_trinh bao gia_Thuan Bac-sua lai" xfId="413" xr:uid="{00000000-0005-0000-0000-000017020000}"/>
    <cellStyle name="_KT (2)_2_TG-TH_trinh bao gia_VKim" xfId="414" xr:uid="{00000000-0005-0000-0000-000018020000}"/>
    <cellStyle name="_KT (2)_2_TG-TH_Truong day nghe (20.1.06)" xfId="415" xr:uid="{00000000-0005-0000-0000-000019020000}"/>
    <cellStyle name="_KT (2)_2_TG-TH_Truong day nghe (20.1.06) 2" xfId="2792" xr:uid="{00000000-0005-0000-0000-00001A020000}"/>
    <cellStyle name="_KT (2)_3" xfId="416" xr:uid="{00000000-0005-0000-0000-00001B020000}"/>
    <cellStyle name="_KT (2)_3_Du toan thay ong ep va da composite sua" xfId="3842" xr:uid="{00000000-0005-0000-0000-00001C020000}"/>
    <cellStyle name="_KT (2)_3_Song tra-750-tram nen" xfId="417" xr:uid="{00000000-0005-0000-0000-00001D020000}"/>
    <cellStyle name="_KT (2)_3_TG-TH" xfId="418" xr:uid="{00000000-0005-0000-0000-00001E020000}"/>
    <cellStyle name="_KT (2)_3_TG-TH_06 Muoi Tri Hai" xfId="419" xr:uid="{00000000-0005-0000-0000-00001F020000}"/>
    <cellStyle name="_KT (2)_3_TG-TH_06-scl-PHUOC HAI.HIEU CHINH-lan 2-09-12-05xls" xfId="420" xr:uid="{00000000-0005-0000-0000-000020020000}"/>
    <cellStyle name="_KT (2)_3_TG-TH_07-PHUOC HA.XLS-1" xfId="421" xr:uid="{00000000-0005-0000-0000-000021020000}"/>
    <cellStyle name="_KT (2)_3_TG-TH_07-PHUOC HA.XLS-1_Song tra-750-tram nen" xfId="422" xr:uid="{00000000-0005-0000-0000-000022020000}"/>
    <cellStyle name="_KT (2)_3_TG-TH_07-PHUOC HA.XLS-1_Song tra-750-tram nen 2" xfId="2793" xr:uid="{00000000-0005-0000-0000-000023020000}"/>
    <cellStyle name="_KT (2)_3_TG-TH_07-scl ninh hai 31-05" xfId="3843" xr:uid="{00000000-0005-0000-0000-000024020000}"/>
    <cellStyle name="_KT (2)_3_TG-TH_6.BANG CHI TIET" xfId="423" xr:uid="{00000000-0005-0000-0000-000025020000}"/>
    <cellStyle name="_KT (2)_3_TG-TH_BANG SO SANH NHAN CONG SC MBA DUYET" xfId="424" xr:uid="{00000000-0005-0000-0000-000026020000}"/>
    <cellStyle name="_KT (2)_3_TG-TH_Book1" xfId="425" xr:uid="{00000000-0005-0000-0000-000027020000}"/>
    <cellStyle name="_KT (2)_3_TG-TH_Book1_06 Muoi Tri Hai" xfId="426" xr:uid="{00000000-0005-0000-0000-000028020000}"/>
    <cellStyle name="_KT (2)_3_TG-TH_Book1_06 Thuy san Ninh Phuoc (luu 21-06)" xfId="427" xr:uid="{00000000-0005-0000-0000-000029020000}"/>
    <cellStyle name="_KT (2)_3_TG-TH_Book1_07-PHUOC HA.XLS-1" xfId="428" xr:uid="{00000000-0005-0000-0000-00002A020000}"/>
    <cellStyle name="_KT (2)_3_TG-TH_Book1_07-PHUOC HA.XLS-1_Song tra-750-tram nen" xfId="429" xr:uid="{00000000-0005-0000-0000-00002B020000}"/>
    <cellStyle name="_KT (2)_3_TG-TH_Book1_07-PHUOC HA.XLS-1_Song tra-750-tram nen 2" xfId="2794" xr:uid="{00000000-0005-0000-0000-00002C020000}"/>
    <cellStyle name="_KT (2)_3_TG-TH_Book1_1" xfId="430" xr:uid="{00000000-0005-0000-0000-00002D020000}"/>
    <cellStyle name="_KT (2)_3_TG-TH_Book1_1_DT Ngoc Ha" xfId="431" xr:uid="{00000000-0005-0000-0000-00002E020000}"/>
    <cellStyle name="_KT (2)_3_TG-TH_Book1_1_DT Ngoc Ha_Song tra-750-tram nen" xfId="432" xr:uid="{00000000-0005-0000-0000-00002F020000}"/>
    <cellStyle name="_KT (2)_3_TG-TH_Book1_1_DT Ngoc Ha_Song tra-750-tram nen 2" xfId="2795" xr:uid="{00000000-0005-0000-0000-000030020000}"/>
    <cellStyle name="_KT (2)_3_TG-TH_Book1_1_Song tra-750-tram nen" xfId="433" xr:uid="{00000000-0005-0000-0000-000031020000}"/>
    <cellStyle name="_KT (2)_3_TG-TH_Book1_2" xfId="434" xr:uid="{00000000-0005-0000-0000-000032020000}"/>
    <cellStyle name="_KT (2)_3_TG-TH_Book1_6.BANG CHI TIET" xfId="435" xr:uid="{00000000-0005-0000-0000-000033020000}"/>
    <cellStyle name="_KT (2)_3_TG-TH_Book1_BAO TRO XH-DU TOAN" xfId="436" xr:uid="{00000000-0005-0000-0000-000034020000}"/>
    <cellStyle name="_KT (2)_3_TG-TH_Book1_BC-QT-WB-dthao" xfId="437" xr:uid="{00000000-0005-0000-0000-000035020000}"/>
    <cellStyle name="_KT (2)_3_TG-TH_Book1_BC-QT-WB-dthao_06 Thuy san Ninh Phuoc (luu 21-06)" xfId="438" xr:uid="{00000000-0005-0000-0000-000036020000}"/>
    <cellStyle name="_KT (2)_3_TG-TH_Book1_BC-QT-WB-dthao_BAO TRO XH-DU TOAN" xfId="439" xr:uid="{00000000-0005-0000-0000-000037020000}"/>
    <cellStyle name="_KT (2)_3_TG-TH_Book1_BC-QT-WB-dthao_BD" xfId="440" xr:uid="{00000000-0005-0000-0000-000038020000}"/>
    <cellStyle name="_KT (2)_3_TG-TH_Book1_BC-QT-WB-dthao_DI DOI TRUONG LE QUY DON-HC HOAN CONG" xfId="441" xr:uid="{00000000-0005-0000-0000-000039020000}"/>
    <cellStyle name="_KT (2)_3_TG-TH_Book1_BC-QT-WB-dthao_DUONG DOI TAN HOI-NEW 21-8-2006" xfId="442" xr:uid="{00000000-0005-0000-0000-00003A020000}"/>
    <cellStyle name="_KT (2)_3_TG-TH_Book1_BC-QT-WB-dthao_DUONG DOI THI XA-THU HOI-HC 2-3-07 xls" xfId="443" xr:uid="{00000000-0005-0000-0000-00003B020000}"/>
    <cellStyle name="_KT (2)_3_TG-TH_Book1_BC-QT-WB-dthao_DUONG DOI THI XA-THU HOI-HC 2-3-07 xls_Song tra-750-tram nen" xfId="444" xr:uid="{00000000-0005-0000-0000-00003C020000}"/>
    <cellStyle name="_KT (2)_3_TG-TH_Book1_BC-QT-WB-dthao_DUONG DOI THI XA-THU HOI-HC 2-3-07 xls_Song tra-750-tram nen 2" xfId="2796" xr:uid="{00000000-0005-0000-0000-00003D020000}"/>
    <cellStyle name="_KT (2)_3_TG-TH_Book1_BC-QT-WB-dthao_Gia cuoc van chuyen" xfId="445" xr:uid="{00000000-0005-0000-0000-00003E020000}"/>
    <cellStyle name="_KT (2)_3_TG-TH_Book1_BC-QT-WB-dthao_Khu dan cu SO 2(TK BV-TC)-1" xfId="446" xr:uid="{00000000-0005-0000-0000-00003F020000}"/>
    <cellStyle name="_KT (2)_3_TG-TH_Book1_BC-QT-WB-dthao_KHU DAN CU SUOI VANG" xfId="447" xr:uid="{00000000-0005-0000-0000-000040020000}"/>
    <cellStyle name="_KT (2)_3_TG-TH_Book1_BC-QT-WB-dthao_Khu TDC Phuoc Trung" xfId="448" xr:uid="{00000000-0005-0000-0000-000041020000}"/>
    <cellStyle name="_KT (2)_3_TG-TH_Book1_BC-QT-WB-dthao_Pham Van Thanh" xfId="449" xr:uid="{00000000-0005-0000-0000-000042020000}"/>
    <cellStyle name="_KT (2)_3_TG-TH_Book1_BC-QT-WB-dthao_Phuoc My Giai Doan 3-gia moi-14-10-uni" xfId="450" xr:uid="{00000000-0005-0000-0000-000043020000}"/>
    <cellStyle name="_KT (2)_3_TG-TH_Book1_BC-QT-WB-dthao_Song tra-750-tram nen" xfId="451" xr:uid="{00000000-0005-0000-0000-000044020000}"/>
    <cellStyle name="_KT (2)_3_TG-TH_Book1_BC-QT-WB-dthao_Song tra-750-tram nen 2" xfId="2797" xr:uid="{00000000-0005-0000-0000-000045020000}"/>
    <cellStyle name="_KT (2)_3_TG-TH_Book1_BC-QT-WB-dthao_Thuan Bac-sua lai" xfId="452" xr:uid="{00000000-0005-0000-0000-000046020000}"/>
    <cellStyle name="_KT (2)_3_TG-TH_Book1_BC-QT-WB-dthao_VKim" xfId="453" xr:uid="{00000000-0005-0000-0000-000047020000}"/>
    <cellStyle name="_KT (2)_3_TG-TH_Book1_BD" xfId="454" xr:uid="{00000000-0005-0000-0000-000048020000}"/>
    <cellStyle name="_KT (2)_3_TG-TH_Book1_Book1" xfId="455" xr:uid="{00000000-0005-0000-0000-000049020000}"/>
    <cellStyle name="_KT (2)_3_TG-TH_Book1_Book1_06 Thuy san Ninh Phuoc (luu 21-06)" xfId="456" xr:uid="{00000000-0005-0000-0000-00004A020000}"/>
    <cellStyle name="_KT (2)_3_TG-TH_Book1_Book1_1" xfId="457" xr:uid="{00000000-0005-0000-0000-00004B020000}"/>
    <cellStyle name="_KT (2)_3_TG-TH_Book1_Book1_1_06 Thuy san Ninh Phuoc (luu 21-06)" xfId="458" xr:uid="{00000000-0005-0000-0000-00004C020000}"/>
    <cellStyle name="_KT (2)_3_TG-TH_Book1_Book1_1_BAO TRO XH-DU TOAN" xfId="459" xr:uid="{00000000-0005-0000-0000-00004D020000}"/>
    <cellStyle name="_KT (2)_3_TG-TH_Book1_Book1_1_BD" xfId="460" xr:uid="{00000000-0005-0000-0000-00004E020000}"/>
    <cellStyle name="_KT (2)_3_TG-TH_Book1_Book1_1_DI DOI TRUONG LE QUY DON-HC HOAN CONG" xfId="461" xr:uid="{00000000-0005-0000-0000-00004F020000}"/>
    <cellStyle name="_KT (2)_3_TG-TH_Book1_Book1_1_DUONG DOI TAN HOI-NEW 21-8-2006" xfId="462" xr:uid="{00000000-0005-0000-0000-000050020000}"/>
    <cellStyle name="_KT (2)_3_TG-TH_Book1_Book1_1_DUONG DOI THI XA-THU HOI-HC 2-3-07 xls" xfId="463" xr:uid="{00000000-0005-0000-0000-000051020000}"/>
    <cellStyle name="_KT (2)_3_TG-TH_Book1_Book1_1_DUONG DOI THI XA-THU HOI-HC 2-3-07 xls_Song tra-750-tram nen" xfId="464" xr:uid="{00000000-0005-0000-0000-000052020000}"/>
    <cellStyle name="_KT (2)_3_TG-TH_Book1_Book1_1_DUONG DOI THI XA-THU HOI-HC 2-3-07 xls_Song tra-750-tram nen 2" xfId="2798" xr:uid="{00000000-0005-0000-0000-000053020000}"/>
    <cellStyle name="_KT (2)_3_TG-TH_Book1_Book1_1_Gia cuoc van chuyen" xfId="465" xr:uid="{00000000-0005-0000-0000-000054020000}"/>
    <cellStyle name="_KT (2)_3_TG-TH_Book1_Book1_1_Khu dan cu SO 2(TK BV-TC)-1" xfId="466" xr:uid="{00000000-0005-0000-0000-000055020000}"/>
    <cellStyle name="_KT (2)_3_TG-TH_Book1_Book1_1_KHU DAN CU SUOI VANG" xfId="467" xr:uid="{00000000-0005-0000-0000-000056020000}"/>
    <cellStyle name="_KT (2)_3_TG-TH_Book1_Book1_1_Khu TDC Phuoc Trung" xfId="468" xr:uid="{00000000-0005-0000-0000-000057020000}"/>
    <cellStyle name="_KT (2)_3_TG-TH_Book1_Book1_1_Pham Van Thanh" xfId="469" xr:uid="{00000000-0005-0000-0000-000058020000}"/>
    <cellStyle name="_KT (2)_3_TG-TH_Book1_Book1_1_Phuoc My Giai Doan 3-gia moi-14-10-uni" xfId="470" xr:uid="{00000000-0005-0000-0000-000059020000}"/>
    <cellStyle name="_KT (2)_3_TG-TH_Book1_Book1_1_Song tra-750-tram nen" xfId="471" xr:uid="{00000000-0005-0000-0000-00005A020000}"/>
    <cellStyle name="_KT (2)_3_TG-TH_Book1_Book1_1_Song tra-750-tram nen 2" xfId="2799" xr:uid="{00000000-0005-0000-0000-00005B020000}"/>
    <cellStyle name="_KT (2)_3_TG-TH_Book1_Book1_1_Thuan Bac-sua lai" xfId="472" xr:uid="{00000000-0005-0000-0000-00005C020000}"/>
    <cellStyle name="_KT (2)_3_TG-TH_Book1_Book1_1_VKim" xfId="473" xr:uid="{00000000-0005-0000-0000-00005D020000}"/>
    <cellStyle name="_KT (2)_3_TG-TH_Book1_Book1_2" xfId="474" xr:uid="{00000000-0005-0000-0000-00005E020000}"/>
    <cellStyle name="_KT (2)_3_TG-TH_Book1_Book1_2 2" xfId="2800" xr:uid="{00000000-0005-0000-0000-00005F020000}"/>
    <cellStyle name="_KT (2)_3_TG-TH_Book1_Book1_BAO TRO XH-DU TOAN" xfId="475" xr:uid="{00000000-0005-0000-0000-000060020000}"/>
    <cellStyle name="_KT (2)_3_TG-TH_Book1_Book1_BD" xfId="476" xr:uid="{00000000-0005-0000-0000-000061020000}"/>
    <cellStyle name="_KT (2)_3_TG-TH_Book1_Book1_DI DOI TRUONG LE QUY DON-HC HOAN CONG" xfId="477" xr:uid="{00000000-0005-0000-0000-000062020000}"/>
    <cellStyle name="_KT (2)_3_TG-TH_Book1_Book1_DUONG DOI TAN HOI-NEW 21-8-2006" xfId="478" xr:uid="{00000000-0005-0000-0000-000063020000}"/>
    <cellStyle name="_KT (2)_3_TG-TH_Book1_Book1_DUONG DOI THI XA-THU HOI-HC 2-3-07 xls" xfId="479" xr:uid="{00000000-0005-0000-0000-000064020000}"/>
    <cellStyle name="_KT (2)_3_TG-TH_Book1_Book1_DUONG DOI THI XA-THU HOI-HC 2-3-07 xls_Song tra-750-tram nen" xfId="480" xr:uid="{00000000-0005-0000-0000-000065020000}"/>
    <cellStyle name="_KT (2)_3_TG-TH_Book1_Book1_DUONG DOI THI XA-THU HOI-HC 2-3-07 xls_Song tra-750-tram nen 2" xfId="2801" xr:uid="{00000000-0005-0000-0000-000066020000}"/>
    <cellStyle name="_KT (2)_3_TG-TH_Book1_Book1_Gia cuoc van chuyen" xfId="481" xr:uid="{00000000-0005-0000-0000-000067020000}"/>
    <cellStyle name="_KT (2)_3_TG-TH_Book1_Book1_Khu dan cu SO 2(TK BV-TC)-1" xfId="482" xr:uid="{00000000-0005-0000-0000-000068020000}"/>
    <cellStyle name="_KT (2)_3_TG-TH_Book1_Book1_KHU DAN CU SUOI VANG" xfId="483" xr:uid="{00000000-0005-0000-0000-000069020000}"/>
    <cellStyle name="_KT (2)_3_TG-TH_Book1_Book1_Khu TDC Phuoc Trung" xfId="484" xr:uid="{00000000-0005-0000-0000-00006A020000}"/>
    <cellStyle name="_KT (2)_3_TG-TH_Book1_Book1_Pham Van Thanh" xfId="485" xr:uid="{00000000-0005-0000-0000-00006B020000}"/>
    <cellStyle name="_KT (2)_3_TG-TH_Book1_Book1_Phuoc My Giai Doan 3-gia moi-14-10-uni" xfId="486" xr:uid="{00000000-0005-0000-0000-00006C020000}"/>
    <cellStyle name="_KT (2)_3_TG-TH_Book1_Book1_Song tra-750-tram nen" xfId="487" xr:uid="{00000000-0005-0000-0000-00006D020000}"/>
    <cellStyle name="_KT (2)_3_TG-TH_Book1_Book1_Song tra-750-tram nen 2" xfId="2802" xr:uid="{00000000-0005-0000-0000-00006E020000}"/>
    <cellStyle name="_KT (2)_3_TG-TH_Book1_Book1_Thuan Bac-sua lai" xfId="488" xr:uid="{00000000-0005-0000-0000-00006F020000}"/>
    <cellStyle name="_KT (2)_3_TG-TH_Book1_Book1_VKim" xfId="489" xr:uid="{00000000-0005-0000-0000-000070020000}"/>
    <cellStyle name="_KT (2)_3_TG-TH_Book1_DI DOI TRUONG LE QUY DON-HC HOAN CONG" xfId="490" xr:uid="{00000000-0005-0000-0000-000071020000}"/>
    <cellStyle name="_KT (2)_3_TG-TH_Book1_DT Ngoc Ha" xfId="491" xr:uid="{00000000-0005-0000-0000-000072020000}"/>
    <cellStyle name="_KT (2)_3_TG-TH_Book1_DT Ngoc Ha_Song tra-750-tram nen" xfId="492" xr:uid="{00000000-0005-0000-0000-000073020000}"/>
    <cellStyle name="_KT (2)_3_TG-TH_Book1_Du toan thay ong ep va da composite sua" xfId="3844" xr:uid="{00000000-0005-0000-0000-000074020000}"/>
    <cellStyle name="_KT (2)_3_TG-TH_Book1_DUONG DOI TAN HOI-NEW 21-8-2006" xfId="493" xr:uid="{00000000-0005-0000-0000-000075020000}"/>
    <cellStyle name="_KT (2)_3_TG-TH_Book1_DUONG DOI THI XA-THU HOI-HC 2-3-07 xls" xfId="494" xr:uid="{00000000-0005-0000-0000-000076020000}"/>
    <cellStyle name="_KT (2)_3_TG-TH_Book1_DUONG DOI THI XA-THU HOI-HC 2-3-07 xls_Song tra-750-tram nen" xfId="495" xr:uid="{00000000-0005-0000-0000-000077020000}"/>
    <cellStyle name="_KT (2)_3_TG-TH_Book1_DUONG DOI THI XA-THU HOI-HC 2-3-07 xls_Song tra-750-tram nen 2" xfId="2803" xr:uid="{00000000-0005-0000-0000-000078020000}"/>
    <cellStyle name="_KT (2)_3_TG-TH_Book1_Dutoan NC 22 khu vuc san bay  09-2006moi" xfId="3845" xr:uid="{00000000-0005-0000-0000-000079020000}"/>
    <cellStyle name="_KT (2)_3_TG-TH_Book1_Gia cuoc van chuyen" xfId="496" xr:uid="{00000000-0005-0000-0000-00007A020000}"/>
    <cellStyle name="_KT (2)_3_TG-TH_Book1_Khu dan cu SO 2(TK BV-TC)-1" xfId="497" xr:uid="{00000000-0005-0000-0000-00007B020000}"/>
    <cellStyle name="_KT (2)_3_TG-TH_Book1_KHU DAN CU SUOI VANG" xfId="498" xr:uid="{00000000-0005-0000-0000-00007C020000}"/>
    <cellStyle name="_KT (2)_3_TG-TH_Book1_Khu TDC Phuoc Trung" xfId="499" xr:uid="{00000000-0005-0000-0000-00007D020000}"/>
    <cellStyle name="_KT (2)_3_TG-TH_Book1_MUOI TINH PHUOC MINH" xfId="500" xr:uid="{00000000-0005-0000-0000-00007E020000}"/>
    <cellStyle name="_KT (2)_3_TG-TH_Book1_MUOI TINH PHUOC MINH_Song tra-750-tram nen" xfId="501" xr:uid="{00000000-0005-0000-0000-00007F020000}"/>
    <cellStyle name="_KT (2)_3_TG-TH_Book1_Pham Van Thanh" xfId="502" xr:uid="{00000000-0005-0000-0000-000080020000}"/>
    <cellStyle name="_KT (2)_3_TG-TH_Book1_Phuoc My Giai Doan 3-gia moi-14-10-uni" xfId="503" xr:uid="{00000000-0005-0000-0000-000081020000}"/>
    <cellStyle name="_KT (2)_3_TG-TH_Book1_Song tra-750-tram nen" xfId="504" xr:uid="{00000000-0005-0000-0000-000082020000}"/>
    <cellStyle name="_KT (2)_3_TG-TH_Book1_Song tra-750-tram nen 2" xfId="2804" xr:uid="{00000000-0005-0000-0000-000083020000}"/>
    <cellStyle name="_KT (2)_3_TG-TH_Book1_TDC Tan My" xfId="505" xr:uid="{00000000-0005-0000-0000-000084020000}"/>
    <cellStyle name="_KT (2)_3_TG-TH_Book1_TDC Tan My_Song tra-750-tram nen" xfId="506" xr:uid="{00000000-0005-0000-0000-000085020000}"/>
    <cellStyle name="_KT (2)_3_TG-TH_Book1_Thuan Bac-sua lai" xfId="507" xr:uid="{00000000-0005-0000-0000-000086020000}"/>
    <cellStyle name="_KT (2)_3_TG-TH_Book1_Truong day nghe (20.1.06)" xfId="508" xr:uid="{00000000-0005-0000-0000-000087020000}"/>
    <cellStyle name="_KT (2)_3_TG-TH_Book1_VKim" xfId="509" xr:uid="{00000000-0005-0000-0000-000088020000}"/>
    <cellStyle name="_KT (2)_3_TG-TH_Dien Ke thon Phuoc Nhon 2" xfId="510" xr:uid="{00000000-0005-0000-0000-000089020000}"/>
    <cellStyle name="_KT (2)_3_TG-TH_DM.NHANCONG" xfId="511" xr:uid="{00000000-0005-0000-0000-00008A020000}"/>
    <cellStyle name="_KT (2)_3_TG-TH_DM.NHANCONG_Song tra-750-tram nen" xfId="512" xr:uid="{00000000-0005-0000-0000-00008B020000}"/>
    <cellStyle name="_KT (2)_3_TG-TH_DM.NHANCONG_Song tra-750-tram nen 2" xfId="2805" xr:uid="{00000000-0005-0000-0000-00008C020000}"/>
    <cellStyle name="_KT (2)_3_TG-TH_DO GHI NINH HAI 2" xfId="3846" xr:uid="{00000000-0005-0000-0000-00008D020000}"/>
    <cellStyle name="_KT (2)_3_TG-TH_DT Ngoc Ha" xfId="513" xr:uid="{00000000-0005-0000-0000-00008E020000}"/>
    <cellStyle name="_KT (2)_3_TG-TH_DT Ngoc Ha_Song tra-750-tram nen" xfId="514" xr:uid="{00000000-0005-0000-0000-00008F020000}"/>
    <cellStyle name="_KT (2)_3_TG-TH_DT Ngoc Ha_Song tra-750-tram nen 2" xfId="2806" xr:uid="{00000000-0005-0000-0000-000090020000}"/>
    <cellStyle name="_KT (2)_3_TG-TH_Du toan thay ong ep va da composite sua" xfId="3847" xr:uid="{00000000-0005-0000-0000-000091020000}"/>
    <cellStyle name="_KT (2)_3_TG-TH_Du toan tram GDEN2 giai doan 2" xfId="515" xr:uid="{00000000-0005-0000-0000-000092020000}"/>
    <cellStyle name="_KT (2)_3_TG-TH_Du toan tram PHUOC NHON 2 giai doan 2" xfId="516" xr:uid="{00000000-0005-0000-0000-000093020000}"/>
    <cellStyle name="_KT (2)_3_TG-TH_Dutoan NC 22 khu vuc san bay  09-2006moi" xfId="3848" xr:uid="{00000000-0005-0000-0000-000094020000}"/>
    <cellStyle name="_KT (2)_3_TG-TH_DUTOAN_DAMDOI_PD1" xfId="517" xr:uid="{00000000-0005-0000-0000-000095020000}"/>
    <cellStyle name="_KT (2)_3_TG-TH_DUTOAN_DAMDOI_PD1_Song tra-750-tram nen" xfId="518" xr:uid="{00000000-0005-0000-0000-000096020000}"/>
    <cellStyle name="_KT (2)_3_TG-TH_DUTOAN_DAMDOI_PD1_Song tra-750-tram nen 2" xfId="2807" xr:uid="{00000000-0005-0000-0000-000097020000}"/>
    <cellStyle name="_KT (2)_3_TG-TH_KHU DAN CU SUOI VANG" xfId="519" xr:uid="{00000000-0005-0000-0000-000098020000}"/>
    <cellStyle name="_KT (2)_3_TG-TH_Khu dan cu Thap Cham 1 (TK BV-TC)-2-HC LAN 1" xfId="520" xr:uid="{00000000-0005-0000-0000-000099020000}"/>
    <cellStyle name="_KT (2)_3_TG-TH_Khu TDC Phuoc Trung" xfId="521" xr:uid="{00000000-0005-0000-0000-00009A020000}"/>
    <cellStyle name="_KT (2)_3_TG-TH_Khu TDC Phuoc Trung_Song tra-750-tram nen" xfId="522" xr:uid="{00000000-0005-0000-0000-00009B020000}"/>
    <cellStyle name="_KT (2)_3_TG-TH_Khu TDC Phuoc Trung_Song tra-750-tram nen 2" xfId="2808" xr:uid="{00000000-0005-0000-0000-00009C020000}"/>
    <cellStyle name="_KT (2)_3_TG-TH_KINH DOANH_ SCL 2015" xfId="3849" xr:uid="{00000000-0005-0000-0000-00009D020000}"/>
    <cellStyle name="_KT (2)_3_TG-TH_Lora-tungchau" xfId="523" xr:uid="{00000000-0005-0000-0000-00009E020000}"/>
    <cellStyle name="_KT (2)_3_TG-TH_Lora-tungchau_6.BANG CHI TIET" xfId="524" xr:uid="{00000000-0005-0000-0000-00009F020000}"/>
    <cellStyle name="_KT (2)_3_TG-TH_Lora-tungchau_BAO TRO XH-DU TOAN" xfId="525" xr:uid="{00000000-0005-0000-0000-0000A0020000}"/>
    <cellStyle name="_KT (2)_3_TG-TH_Lora-tungchau_BD" xfId="526" xr:uid="{00000000-0005-0000-0000-0000A1020000}"/>
    <cellStyle name="_KT (2)_3_TG-TH_Lora-tungchau_DM.NHANCONG" xfId="527" xr:uid="{00000000-0005-0000-0000-0000A2020000}"/>
    <cellStyle name="_KT (2)_3_TG-TH_Lora-tungchau_DM.NHANCONG_Song tra-750-tram nen" xfId="528" xr:uid="{00000000-0005-0000-0000-0000A3020000}"/>
    <cellStyle name="_KT (2)_3_TG-TH_Lora-tungchau_DM.NHANCONG_Song tra-750-tram nen 2" xfId="2809" xr:uid="{00000000-0005-0000-0000-0000A4020000}"/>
    <cellStyle name="_KT (2)_3_TG-TH_Lora-tungchau_DUONG DOI TAN HOI-NEW 21-8-2006" xfId="529" xr:uid="{00000000-0005-0000-0000-0000A5020000}"/>
    <cellStyle name="_KT (2)_3_TG-TH_Lora-tungchau_Gia cuoc van chuyen" xfId="530" xr:uid="{00000000-0005-0000-0000-0000A6020000}"/>
    <cellStyle name="_KT (2)_3_TG-TH_Lora-tungchau_Khu dan cu SO 2(TK BV-TC)-1" xfId="531" xr:uid="{00000000-0005-0000-0000-0000A7020000}"/>
    <cellStyle name="_KT (2)_3_TG-TH_Lora-tungchau_LTRI- TDINH" xfId="532" xr:uid="{00000000-0005-0000-0000-0000A8020000}"/>
    <cellStyle name="_KT (2)_3_TG-TH_Lora-tungchau_Pham Van Thanh" xfId="533" xr:uid="{00000000-0005-0000-0000-0000A9020000}"/>
    <cellStyle name="_KT (2)_3_TG-TH_Lora-tungchau_Phuoc My Giai Doan 3-gia moi-14-10-uni" xfId="534" xr:uid="{00000000-0005-0000-0000-0000AA020000}"/>
    <cellStyle name="_KT (2)_3_TG-TH_Lora-tungchau_Song tra-750-tram nen" xfId="535" xr:uid="{00000000-0005-0000-0000-0000AB020000}"/>
    <cellStyle name="_KT (2)_3_TG-TH_Lora-tungchau_Song tra-750-tram nen 2" xfId="2810" xr:uid="{00000000-0005-0000-0000-0000AC020000}"/>
    <cellStyle name="_KT (2)_3_TG-TH_Lora-tungchau_Thuan Bac-sua lai" xfId="536" xr:uid="{00000000-0005-0000-0000-0000AD020000}"/>
    <cellStyle name="_KT (2)_3_TG-TH_Lora-tungchau_VKim" xfId="537" xr:uid="{00000000-0005-0000-0000-0000AE020000}"/>
    <cellStyle name="_KT (2)_3_TG-TH_MUOI TINH PHUOC MINH" xfId="538" xr:uid="{00000000-0005-0000-0000-0000AF020000}"/>
    <cellStyle name="_KT (2)_3_TG-TH_MUOI TINH PHUOC MINH_Song tra-750-tram nen" xfId="539" xr:uid="{00000000-0005-0000-0000-0000B0020000}"/>
    <cellStyle name="_KT (2)_3_TG-TH_MUOI TINH PHUOC MINH_Song tra-750-tram nen 2" xfId="2811" xr:uid="{00000000-0005-0000-0000-0000B1020000}"/>
    <cellStyle name="_KT (2)_3_TG-TH_PERSONAL" xfId="540" xr:uid="{00000000-0005-0000-0000-0000B2020000}"/>
    <cellStyle name="_KT (2)_3_TG-TH_PERSONAL_Book1" xfId="541" xr:uid="{00000000-0005-0000-0000-0000B3020000}"/>
    <cellStyle name="_KT (2)_3_TG-TH_PERSONAL_Book1_06 Thuy san Ninh Phuoc (luu 21-06)" xfId="542" xr:uid="{00000000-0005-0000-0000-0000B4020000}"/>
    <cellStyle name="_KT (2)_3_TG-TH_PERSONAL_Book1_1" xfId="543" xr:uid="{00000000-0005-0000-0000-0000B5020000}"/>
    <cellStyle name="_KT (2)_3_TG-TH_PERSONAL_Book1_1_Song tra-750-tram nen" xfId="544" xr:uid="{00000000-0005-0000-0000-0000B6020000}"/>
    <cellStyle name="_KT (2)_3_TG-TH_PERSONAL_Book1_BAO TRO XH-DU TOAN" xfId="545" xr:uid="{00000000-0005-0000-0000-0000B7020000}"/>
    <cellStyle name="_KT (2)_3_TG-TH_PERSONAL_Book1_BD" xfId="546" xr:uid="{00000000-0005-0000-0000-0000B8020000}"/>
    <cellStyle name="_KT (2)_3_TG-TH_PERSONAL_Book1_Book1" xfId="547" xr:uid="{00000000-0005-0000-0000-0000B9020000}"/>
    <cellStyle name="_KT (2)_3_TG-TH_PERSONAL_Book1_Book1_Song tra-750-tram nen" xfId="548" xr:uid="{00000000-0005-0000-0000-0000BA020000}"/>
    <cellStyle name="_KT (2)_3_TG-TH_PERSONAL_Book1_Book1_Song tra-750-tram nen 2" xfId="2812" xr:uid="{00000000-0005-0000-0000-0000BB020000}"/>
    <cellStyle name="_KT (2)_3_TG-TH_PERSONAL_Book1_DI DOI TRUONG LE QUY DON-HC HOAN CONG" xfId="549" xr:uid="{00000000-0005-0000-0000-0000BC020000}"/>
    <cellStyle name="_KT (2)_3_TG-TH_PERSONAL_Book1_DUONG DOI TAN HOI-NEW 21-8-2006" xfId="550" xr:uid="{00000000-0005-0000-0000-0000BD020000}"/>
    <cellStyle name="_KT (2)_3_TG-TH_PERSONAL_Book1_DUONG DOI THI XA-THU HOI-HC 2-3-07 xls" xfId="551" xr:uid="{00000000-0005-0000-0000-0000BE020000}"/>
    <cellStyle name="_KT (2)_3_TG-TH_PERSONAL_Book1_DUONG DOI THI XA-THU HOI-HC 2-3-07 xls_Song tra-750-tram nen" xfId="552" xr:uid="{00000000-0005-0000-0000-0000BF020000}"/>
    <cellStyle name="_KT (2)_3_TG-TH_PERSONAL_Book1_DUONG DOI THI XA-THU HOI-HC 2-3-07 xls_Song tra-750-tram nen 2" xfId="2813" xr:uid="{00000000-0005-0000-0000-0000C0020000}"/>
    <cellStyle name="_KT (2)_3_TG-TH_PERSONAL_Book1_Gia cuoc van chuyen" xfId="553" xr:uid="{00000000-0005-0000-0000-0000C1020000}"/>
    <cellStyle name="_KT (2)_3_TG-TH_PERSONAL_Book1_Khu dan cu SO 2(TK BV-TC)-1" xfId="554" xr:uid="{00000000-0005-0000-0000-0000C2020000}"/>
    <cellStyle name="_KT (2)_3_TG-TH_PERSONAL_Book1_KHU DAN CU SUOI VANG" xfId="555" xr:uid="{00000000-0005-0000-0000-0000C3020000}"/>
    <cellStyle name="_KT (2)_3_TG-TH_PERSONAL_Book1_Khu TDC Phuoc Trung" xfId="556" xr:uid="{00000000-0005-0000-0000-0000C4020000}"/>
    <cellStyle name="_KT (2)_3_TG-TH_PERSONAL_Book1_Pham Van Thanh" xfId="557" xr:uid="{00000000-0005-0000-0000-0000C5020000}"/>
    <cellStyle name="_KT (2)_3_TG-TH_PERSONAL_Book1_Phuoc My Giai Doan 3-gia moi-14-10-uni" xfId="558" xr:uid="{00000000-0005-0000-0000-0000C6020000}"/>
    <cellStyle name="_KT (2)_3_TG-TH_PERSONAL_Book1_Song tra-750-tram nen" xfId="559" xr:uid="{00000000-0005-0000-0000-0000C7020000}"/>
    <cellStyle name="_KT (2)_3_TG-TH_PERSONAL_Book1_Song tra-750-tram nen 2" xfId="2814" xr:uid="{00000000-0005-0000-0000-0000C8020000}"/>
    <cellStyle name="_KT (2)_3_TG-TH_PERSONAL_Book1_Thuan Bac-sua lai" xfId="560" xr:uid="{00000000-0005-0000-0000-0000C9020000}"/>
    <cellStyle name="_KT (2)_3_TG-TH_PERSONAL_Book1_VKim" xfId="561" xr:uid="{00000000-0005-0000-0000-0000CA020000}"/>
    <cellStyle name="_KT (2)_3_TG-TH_PERSONAL_HTQ.8 GD1" xfId="562" xr:uid="{00000000-0005-0000-0000-0000CB020000}"/>
    <cellStyle name="_KT (2)_3_TG-TH_PERSONAL_HTQ.8 GD1_06 Thuy san Ninh Phuoc (luu 21-06)" xfId="563" xr:uid="{00000000-0005-0000-0000-0000CC020000}"/>
    <cellStyle name="_KT (2)_3_TG-TH_PERSONAL_HTQ.8 GD1_BAO TRO XH-DU TOAN" xfId="564" xr:uid="{00000000-0005-0000-0000-0000CD020000}"/>
    <cellStyle name="_KT (2)_3_TG-TH_PERSONAL_HTQ.8 GD1_BD" xfId="565" xr:uid="{00000000-0005-0000-0000-0000CE020000}"/>
    <cellStyle name="_KT (2)_3_TG-TH_PERSONAL_HTQ.8 GD1_DI DOI TRUONG LE QUY DON-HC HOAN CONG" xfId="566" xr:uid="{00000000-0005-0000-0000-0000CF020000}"/>
    <cellStyle name="_KT (2)_3_TG-TH_PERSONAL_HTQ.8 GD1_DUONG DOI TAN HOI-NEW 21-8-2006" xfId="567" xr:uid="{00000000-0005-0000-0000-0000D0020000}"/>
    <cellStyle name="_KT (2)_3_TG-TH_PERSONAL_HTQ.8 GD1_DUONG DOI THI XA-THU HOI-HC 2-3-07 xls" xfId="568" xr:uid="{00000000-0005-0000-0000-0000D1020000}"/>
    <cellStyle name="_KT (2)_3_TG-TH_PERSONAL_HTQ.8 GD1_DUONG DOI THI XA-THU HOI-HC 2-3-07 xls_Song tra-750-tram nen" xfId="569" xr:uid="{00000000-0005-0000-0000-0000D2020000}"/>
    <cellStyle name="_KT (2)_3_TG-TH_PERSONAL_HTQ.8 GD1_DUONG DOI THI XA-THU HOI-HC 2-3-07 xls_Song tra-750-tram nen 2" xfId="2815" xr:uid="{00000000-0005-0000-0000-0000D3020000}"/>
    <cellStyle name="_KT (2)_3_TG-TH_PERSONAL_HTQ.8 GD1_Gia cuoc van chuyen" xfId="570" xr:uid="{00000000-0005-0000-0000-0000D4020000}"/>
    <cellStyle name="_KT (2)_3_TG-TH_PERSONAL_HTQ.8 GD1_Khu dan cu SO 2(TK BV-TC)-1" xfId="571" xr:uid="{00000000-0005-0000-0000-0000D5020000}"/>
    <cellStyle name="_KT (2)_3_TG-TH_PERSONAL_HTQ.8 GD1_KHU DAN CU SUOI VANG" xfId="572" xr:uid="{00000000-0005-0000-0000-0000D6020000}"/>
    <cellStyle name="_KT (2)_3_TG-TH_PERSONAL_HTQ.8 GD1_Khu TDC Phuoc Trung" xfId="573" xr:uid="{00000000-0005-0000-0000-0000D7020000}"/>
    <cellStyle name="_KT (2)_3_TG-TH_PERSONAL_HTQ.8 GD1_Pham Van Thanh" xfId="574" xr:uid="{00000000-0005-0000-0000-0000D8020000}"/>
    <cellStyle name="_KT (2)_3_TG-TH_PERSONAL_HTQ.8 GD1_Phuoc My Giai Doan 3-gia moi-14-10-uni" xfId="575" xr:uid="{00000000-0005-0000-0000-0000D9020000}"/>
    <cellStyle name="_KT (2)_3_TG-TH_PERSONAL_HTQ.8 GD1_Song tra-750-tram nen" xfId="576" xr:uid="{00000000-0005-0000-0000-0000DA020000}"/>
    <cellStyle name="_KT (2)_3_TG-TH_PERSONAL_HTQ.8 GD1_Song tra-750-tram nen 2" xfId="2816" xr:uid="{00000000-0005-0000-0000-0000DB020000}"/>
    <cellStyle name="_KT (2)_3_TG-TH_PERSONAL_HTQ.8 GD1_Thuan Bac-sua lai" xfId="577" xr:uid="{00000000-0005-0000-0000-0000DC020000}"/>
    <cellStyle name="_KT (2)_3_TG-TH_PERSONAL_HTQ.8 GD1_VKim" xfId="578" xr:uid="{00000000-0005-0000-0000-0000DD020000}"/>
    <cellStyle name="_KT (2)_3_TG-TH_PERSONAL_Song tra-750-tram nen" xfId="579" xr:uid="{00000000-0005-0000-0000-0000DE020000}"/>
    <cellStyle name="_KT (2)_3_TG-TH_PERSONAL_Song tra-750-tram nen 2" xfId="2817" xr:uid="{00000000-0005-0000-0000-0000DF020000}"/>
    <cellStyle name="_KT (2)_3_TG-TH_PERSONAL_THG" xfId="580" xr:uid="{00000000-0005-0000-0000-0000E0020000}"/>
    <cellStyle name="_KT (2)_3_TG-TH_PERSONAL_THG_Song tra-750-tram nen" xfId="581" xr:uid="{00000000-0005-0000-0000-0000E1020000}"/>
    <cellStyle name="_KT (2)_3_TG-TH_PERSONAL_Tong hop KHCB 2001" xfId="582" xr:uid="{00000000-0005-0000-0000-0000E2020000}"/>
    <cellStyle name="_KT (2)_3_TG-TH_PERSONAL_Tong hop KHCB 2001_Song tra-750-tram nen" xfId="583" xr:uid="{00000000-0005-0000-0000-0000E3020000}"/>
    <cellStyle name="_KT (2)_3_TG-TH_PERSONAL_Tong hop KHCB 2001_Song tra-750-tram nen 2" xfId="2818" xr:uid="{00000000-0005-0000-0000-0000E4020000}"/>
    <cellStyle name="_KT (2)_3_TG-TH_PHUOC HUU" xfId="584" xr:uid="{00000000-0005-0000-0000-0000E5020000}"/>
    <cellStyle name="_KT (2)_3_TG-TH_PHUOC HUU_Song tra-750-tram nen" xfId="585" xr:uid="{00000000-0005-0000-0000-0000E6020000}"/>
    <cellStyle name="_KT (2)_3_TG-TH_PHUOC HUU_Song tra-750-tram nen 2" xfId="2819" xr:uid="{00000000-0005-0000-0000-0000E7020000}"/>
    <cellStyle name="_KT (2)_3_TG-TH_Qt-HT3PQ1(CauKho)" xfId="586" xr:uid="{00000000-0005-0000-0000-0000E8020000}"/>
    <cellStyle name="_KT (2)_3_TG-TH_Qt-HT3PQ1(CauKho)_Song tra-750-tram nen" xfId="587" xr:uid="{00000000-0005-0000-0000-0000E9020000}"/>
    <cellStyle name="_KT (2)_3_TG-TH_Qt-HT3PQ1(CauKho)_Song tra-750-tram nen 2" xfId="2820" xr:uid="{00000000-0005-0000-0000-0000EA020000}"/>
    <cellStyle name="_KT (2)_3_TG-TH_SCL 07-Phuoc Hau-unicod" xfId="588" xr:uid="{00000000-0005-0000-0000-0000EB020000}"/>
    <cellStyle name="_KT (2)_3_TG-TH_SCL tram GO DEN - GO THAO" xfId="589" xr:uid="{00000000-0005-0000-0000-0000EC020000}"/>
    <cellStyle name="_KT (2)_3_TG-TH_SO TRU TRUNG AP SCL GUI ANH PHUONG" xfId="3850" xr:uid="{00000000-0005-0000-0000-0000ED020000}"/>
    <cellStyle name="_KT (2)_3_TG-TH_Song tra-750-tram nen" xfId="590" xr:uid="{00000000-0005-0000-0000-0000EE020000}"/>
    <cellStyle name="_KT (2)_3_TG-TH_Song tra-750-tram nen 2" xfId="2821" xr:uid="{00000000-0005-0000-0000-0000EF020000}"/>
    <cellStyle name="_KT (2)_3_TG-TH_sua chua lon Thao 1" xfId="3851" xr:uid="{00000000-0005-0000-0000-0000F0020000}"/>
    <cellStyle name="_KT (2)_3_TG-TH_TDC Tan My" xfId="591" xr:uid="{00000000-0005-0000-0000-0000F1020000}"/>
    <cellStyle name="_KT (2)_3_TG-TH_TDC Tan My_Song tra-750-tram nen" xfId="592" xr:uid="{00000000-0005-0000-0000-0000F2020000}"/>
    <cellStyle name="_KT (2)_3_TG-TH_TDC Tan My_Song tra-750-tram nen 2" xfId="2822" xr:uid="{00000000-0005-0000-0000-0000F3020000}"/>
    <cellStyle name="_KT (2)_3_TG-TH_TDT-MAU2" xfId="593" xr:uid="{00000000-0005-0000-0000-0000F4020000}"/>
    <cellStyle name="_KT (2)_3_TG-TH_TDT-MAU2_Song tra-750-tram nen" xfId="594" xr:uid="{00000000-0005-0000-0000-0000F5020000}"/>
    <cellStyle name="_KT (2)_3_TG-TH_TDT-MAU2_Song tra-750-tram nen 2" xfId="2823" xr:uid="{00000000-0005-0000-0000-0000F6020000}"/>
    <cellStyle name="_KT (2)_3_TG-TH_TONG KE GO DEN-GO THAO" xfId="595" xr:uid="{00000000-0005-0000-0000-0000F7020000}"/>
    <cellStyle name="_KT (2)_3_TG-TH_Tong ke SCL bo sung 2007" xfId="596" xr:uid="{00000000-0005-0000-0000-0000F8020000}"/>
    <cellStyle name="_KT (2)_3_TG-TH_Tong ke sua chua DZ dke (xoa tong gd 2)-NLam 2 -Vtu" xfId="597" xr:uid="{00000000-0005-0000-0000-0000F9020000}"/>
    <cellStyle name="_KT (2)_3_TG-TH_Tong ke sua chua DZ dke (xoa tong gd 2)-NLam-Vtu" xfId="598" xr:uid="{00000000-0005-0000-0000-0000FA020000}"/>
    <cellStyle name="_KT (2)_3_TG-TH_Tong ke sua chua DZ dke (xoa tong gd 2)-VLam 1" xfId="599" xr:uid="{00000000-0005-0000-0000-0000FB020000}"/>
    <cellStyle name="_KT (2)_3_TG-TH_Tong ke sua chua DZ dke (xoa tong gd 2)-VLam 2" xfId="600" xr:uid="{00000000-0005-0000-0000-0000FC020000}"/>
    <cellStyle name="_KT (2)_3_TG-TH_Truong day nghe (20.1.06)" xfId="601" xr:uid="{00000000-0005-0000-0000-0000FD020000}"/>
    <cellStyle name="_KT (2)_3_TG-TH_Truong day nghe (20.1.06) 2" xfId="2824" xr:uid="{00000000-0005-0000-0000-0000FE020000}"/>
    <cellStyle name="_KT (2)_4" xfId="602" xr:uid="{00000000-0005-0000-0000-0000FF020000}"/>
    <cellStyle name="_KT (2)_4_06 Muoi Tri Hai" xfId="603" xr:uid="{00000000-0005-0000-0000-000000030000}"/>
    <cellStyle name="_KT (2)_4_06-scl-PHUOC HAI.HIEU CHINH-lan 2-09-12-05xls" xfId="604" xr:uid="{00000000-0005-0000-0000-000001030000}"/>
    <cellStyle name="_KT (2)_4_07-PHUOC HA.XLS-1" xfId="605" xr:uid="{00000000-0005-0000-0000-000002030000}"/>
    <cellStyle name="_KT (2)_4_07-PHUOC HA.XLS-1_Song tra-750-tram nen" xfId="606" xr:uid="{00000000-0005-0000-0000-000003030000}"/>
    <cellStyle name="_KT (2)_4_07-PHUOC HA.XLS-1_Song tra-750-tram nen 2" xfId="2825" xr:uid="{00000000-0005-0000-0000-000004030000}"/>
    <cellStyle name="_KT (2)_4_07-scl ninh hai 31-05" xfId="3852" xr:uid="{00000000-0005-0000-0000-000005030000}"/>
    <cellStyle name="_KT (2)_4_6.BANG CHI TIET" xfId="607" xr:uid="{00000000-0005-0000-0000-000006030000}"/>
    <cellStyle name="_KT (2)_4_BANG SO SANH NHAN CONG SC MBA DUYET" xfId="608" xr:uid="{00000000-0005-0000-0000-000007030000}"/>
    <cellStyle name="_KT (2)_4_BAO CAO KLCT PT2000" xfId="609" xr:uid="{00000000-0005-0000-0000-000008030000}"/>
    <cellStyle name="_KT (2)_4_BAO CAO KLCT PT2000_Song tra-750-tram nen" xfId="610" xr:uid="{00000000-0005-0000-0000-000009030000}"/>
    <cellStyle name="_KT (2)_4_BAO CAO KLCT PT2000_Song tra-750-tram nen 2" xfId="2826" xr:uid="{00000000-0005-0000-0000-00000A030000}"/>
    <cellStyle name="_KT (2)_4_BAO CAO PT2000" xfId="611" xr:uid="{00000000-0005-0000-0000-00000B030000}"/>
    <cellStyle name="_KT (2)_4_BAO CAO PT2000_Book1" xfId="612" xr:uid="{00000000-0005-0000-0000-00000C030000}"/>
    <cellStyle name="_KT (2)_4_BAO CAO PT2000_Book1_Song tra-750-tram nen" xfId="613" xr:uid="{00000000-0005-0000-0000-00000D030000}"/>
    <cellStyle name="_KT (2)_4_BAO CAO PT2000_Book1_Song tra-750-tram nen 2" xfId="2827" xr:uid="{00000000-0005-0000-0000-00000E030000}"/>
    <cellStyle name="_KT (2)_4_BAO CAO PT2000_DT Ngoc Ha" xfId="614" xr:uid="{00000000-0005-0000-0000-00000F030000}"/>
    <cellStyle name="_KT (2)_4_BAO CAO PT2000_DT Ngoc Ha_Song tra-750-tram nen" xfId="615" xr:uid="{00000000-0005-0000-0000-000010030000}"/>
    <cellStyle name="_KT (2)_4_BAO CAO PT2000_DT Ngoc Ha_Song tra-750-tram nen 2" xfId="2828" xr:uid="{00000000-0005-0000-0000-000011030000}"/>
    <cellStyle name="_KT (2)_4_BAO CAO PT2000_MUOI TINH PHUOC MINH" xfId="616" xr:uid="{00000000-0005-0000-0000-000012030000}"/>
    <cellStyle name="_KT (2)_4_BAO CAO PT2000_MUOI TINH PHUOC MINH_Song tra-750-tram nen" xfId="617" xr:uid="{00000000-0005-0000-0000-000013030000}"/>
    <cellStyle name="_KT (2)_4_BAO CAO PT2000_MUOI TINH PHUOC MINH_Song tra-750-tram nen 2" xfId="2829" xr:uid="{00000000-0005-0000-0000-000014030000}"/>
    <cellStyle name="_KT (2)_4_BAO CAO PT2000_Song tra-750-tram nen" xfId="618" xr:uid="{00000000-0005-0000-0000-000015030000}"/>
    <cellStyle name="_KT (2)_4_BAO CAO PT2000_Song tra-750-tram nen 2" xfId="2830" xr:uid="{00000000-0005-0000-0000-000016030000}"/>
    <cellStyle name="_KT (2)_4_BAO CAO PT2000_TDC Tan My" xfId="619" xr:uid="{00000000-0005-0000-0000-000017030000}"/>
    <cellStyle name="_KT (2)_4_BAO CAO PT2000_TDC Tan My_Song tra-750-tram nen" xfId="620" xr:uid="{00000000-0005-0000-0000-000018030000}"/>
    <cellStyle name="_KT (2)_4_BAO CAO PT2000_TDC Tan My_Song tra-750-tram nen 2" xfId="2831" xr:uid="{00000000-0005-0000-0000-000019030000}"/>
    <cellStyle name="_KT (2)_4_BAO CAO PT2000_trinh bao gia" xfId="621" xr:uid="{00000000-0005-0000-0000-00001A030000}"/>
    <cellStyle name="_KT (2)_4_BAO CAO PT2000_trinh bao gia_06 Thuy san Ninh Phuoc (luu 21-06)" xfId="622" xr:uid="{00000000-0005-0000-0000-00001B030000}"/>
    <cellStyle name="_KT (2)_4_BAO CAO PT2000_trinh bao gia_BAO TRO XH-DU TOAN" xfId="623" xr:uid="{00000000-0005-0000-0000-00001C030000}"/>
    <cellStyle name="_KT (2)_4_BAO CAO PT2000_trinh bao gia_BD" xfId="624" xr:uid="{00000000-0005-0000-0000-00001D030000}"/>
    <cellStyle name="_KT (2)_4_BAO CAO PT2000_trinh bao gia_DI DOI TRUONG LE QUY DON-HC HOAN CONG" xfId="625" xr:uid="{00000000-0005-0000-0000-00001E030000}"/>
    <cellStyle name="_KT (2)_4_BAO CAO PT2000_trinh bao gia_DUONG DOI TAN HOI-NEW 21-8-2006" xfId="626" xr:uid="{00000000-0005-0000-0000-00001F030000}"/>
    <cellStyle name="_KT (2)_4_BAO CAO PT2000_trinh bao gia_DUONG DOI THI XA-THU HOI-HC 2-3-07 xls" xfId="627" xr:uid="{00000000-0005-0000-0000-000020030000}"/>
    <cellStyle name="_KT (2)_4_BAO CAO PT2000_trinh bao gia_DUONG DOI THI XA-THU HOI-HC 2-3-07 xls_Song tra-750-tram nen" xfId="628" xr:uid="{00000000-0005-0000-0000-000021030000}"/>
    <cellStyle name="_KT (2)_4_BAO CAO PT2000_trinh bao gia_DUONG DOI THI XA-THU HOI-HC 2-3-07 xls_Song tra-750-tram nen 2" xfId="2832" xr:uid="{00000000-0005-0000-0000-000022030000}"/>
    <cellStyle name="_KT (2)_4_BAO CAO PT2000_trinh bao gia_Gia cuoc van chuyen" xfId="629" xr:uid="{00000000-0005-0000-0000-000023030000}"/>
    <cellStyle name="_KT (2)_4_BAO CAO PT2000_trinh bao gia_Khu dan cu SO 2(TK BV-TC)-1" xfId="630" xr:uid="{00000000-0005-0000-0000-000024030000}"/>
    <cellStyle name="_KT (2)_4_BAO CAO PT2000_trinh bao gia_KHU DAN CU SUOI VANG" xfId="631" xr:uid="{00000000-0005-0000-0000-000025030000}"/>
    <cellStyle name="_KT (2)_4_BAO CAO PT2000_trinh bao gia_Khu TDC Phuoc Trung" xfId="632" xr:uid="{00000000-0005-0000-0000-000026030000}"/>
    <cellStyle name="_KT (2)_4_BAO CAO PT2000_trinh bao gia_Pham Van Thanh" xfId="633" xr:uid="{00000000-0005-0000-0000-000027030000}"/>
    <cellStyle name="_KT (2)_4_BAO CAO PT2000_trinh bao gia_Phuoc My Giai Doan 3-gia moi-14-10-uni" xfId="634" xr:uid="{00000000-0005-0000-0000-000028030000}"/>
    <cellStyle name="_KT (2)_4_BAO CAO PT2000_trinh bao gia_Song tra-750-tram nen" xfId="635" xr:uid="{00000000-0005-0000-0000-000029030000}"/>
    <cellStyle name="_KT (2)_4_BAO CAO PT2000_trinh bao gia_Song tra-750-tram nen 2" xfId="2833" xr:uid="{00000000-0005-0000-0000-00002A030000}"/>
    <cellStyle name="_KT (2)_4_BAO CAO PT2000_trinh bao gia_Thuan Bac-sua lai" xfId="636" xr:uid="{00000000-0005-0000-0000-00002B030000}"/>
    <cellStyle name="_KT (2)_4_BAO CAO PT2000_trinh bao gia_VKim" xfId="637" xr:uid="{00000000-0005-0000-0000-00002C030000}"/>
    <cellStyle name="_KT (2)_4_BAO CAO PT2000_Truong day nghe (20.1.06)" xfId="638" xr:uid="{00000000-0005-0000-0000-00002D030000}"/>
    <cellStyle name="_KT (2)_4_BAO CAO PT2000_Truong day nghe (20.1.06) 2" xfId="2834" xr:uid="{00000000-0005-0000-0000-00002E030000}"/>
    <cellStyle name="_KT (2)_4_Bao cao XDCB 2001 - T11 KH dieu chinh 20-11-THAI" xfId="639" xr:uid="{00000000-0005-0000-0000-00002F030000}"/>
    <cellStyle name="_KT (2)_4_Bao cao XDCB 2001 - T11 KH dieu chinh 20-11-THAI_Book1" xfId="640" xr:uid="{00000000-0005-0000-0000-000030030000}"/>
    <cellStyle name="_KT (2)_4_Bao cao XDCB 2001 - T11 KH dieu chinh 20-11-THAI_Book1_Song tra-750-tram nen" xfId="641" xr:uid="{00000000-0005-0000-0000-000031030000}"/>
    <cellStyle name="_KT (2)_4_Bao cao XDCB 2001 - T11 KH dieu chinh 20-11-THAI_Book1_Song tra-750-tram nen 2" xfId="2835" xr:uid="{00000000-0005-0000-0000-000032030000}"/>
    <cellStyle name="_KT (2)_4_Bao cao XDCB 2001 - T11 KH dieu chinh 20-11-THAI_DT Ngoc Ha" xfId="642" xr:uid="{00000000-0005-0000-0000-000033030000}"/>
    <cellStyle name="_KT (2)_4_Bao cao XDCB 2001 - T11 KH dieu chinh 20-11-THAI_DT Ngoc Ha_Song tra-750-tram nen" xfId="643" xr:uid="{00000000-0005-0000-0000-000034030000}"/>
    <cellStyle name="_KT (2)_4_Bao cao XDCB 2001 - T11 KH dieu chinh 20-11-THAI_DT Ngoc Ha_Song tra-750-tram nen 2" xfId="2836" xr:uid="{00000000-0005-0000-0000-000035030000}"/>
    <cellStyle name="_KT (2)_4_Bao cao XDCB 2001 - T11 KH dieu chinh 20-11-THAI_MUOI TINH PHUOC MINH" xfId="644" xr:uid="{00000000-0005-0000-0000-000036030000}"/>
    <cellStyle name="_KT (2)_4_Bao cao XDCB 2001 - T11 KH dieu chinh 20-11-THAI_MUOI TINH PHUOC MINH_Song tra-750-tram nen" xfId="645" xr:uid="{00000000-0005-0000-0000-000037030000}"/>
    <cellStyle name="_KT (2)_4_Bao cao XDCB 2001 - T11 KH dieu chinh 20-11-THAI_MUOI TINH PHUOC MINH_Song tra-750-tram nen 2" xfId="2837" xr:uid="{00000000-0005-0000-0000-000038030000}"/>
    <cellStyle name="_KT (2)_4_Bao cao XDCB 2001 - T11 KH dieu chinh 20-11-THAI_Song tra-750-tram nen" xfId="646" xr:uid="{00000000-0005-0000-0000-000039030000}"/>
    <cellStyle name="_KT (2)_4_Bao cao XDCB 2001 - T11 KH dieu chinh 20-11-THAI_Song tra-750-tram nen 2" xfId="2838" xr:uid="{00000000-0005-0000-0000-00003A030000}"/>
    <cellStyle name="_KT (2)_4_Bao cao XDCB 2001 - T11 KH dieu chinh 20-11-THAI_TDC Tan My" xfId="647" xr:uid="{00000000-0005-0000-0000-00003B030000}"/>
    <cellStyle name="_KT (2)_4_Bao cao XDCB 2001 - T11 KH dieu chinh 20-11-THAI_TDC Tan My_Song tra-750-tram nen" xfId="648" xr:uid="{00000000-0005-0000-0000-00003C030000}"/>
    <cellStyle name="_KT (2)_4_Bao cao XDCB 2001 - T11 KH dieu chinh 20-11-THAI_TDC Tan My_Song tra-750-tram nen 2" xfId="2839" xr:uid="{00000000-0005-0000-0000-00003D030000}"/>
    <cellStyle name="_KT (2)_4_Bao cao XDCB 2001 - T11 KH dieu chinh 20-11-THAI_trinh bao gia" xfId="649" xr:uid="{00000000-0005-0000-0000-00003E030000}"/>
    <cellStyle name="_KT (2)_4_Bao cao XDCB 2001 - T11 KH dieu chinh 20-11-THAI_trinh bao gia_06 Thuy san Ninh Phuoc (luu 21-06)" xfId="650" xr:uid="{00000000-0005-0000-0000-00003F030000}"/>
    <cellStyle name="_KT (2)_4_Bao cao XDCB 2001 - T11 KH dieu chinh 20-11-THAI_trinh bao gia_BAO TRO XH-DU TOAN" xfId="651" xr:uid="{00000000-0005-0000-0000-000040030000}"/>
    <cellStyle name="_KT (2)_4_Bao cao XDCB 2001 - T11 KH dieu chinh 20-11-THAI_trinh bao gia_BD" xfId="652" xr:uid="{00000000-0005-0000-0000-000041030000}"/>
    <cellStyle name="_KT (2)_4_Bao cao XDCB 2001 - T11 KH dieu chinh 20-11-THAI_trinh bao gia_DI DOI TRUONG LE QUY DON-HC HOAN CONG" xfId="653" xr:uid="{00000000-0005-0000-0000-000042030000}"/>
    <cellStyle name="_KT (2)_4_Bao cao XDCB 2001 - T11 KH dieu chinh 20-11-THAI_trinh bao gia_DUONG DOI TAN HOI-NEW 21-8-2006" xfId="654" xr:uid="{00000000-0005-0000-0000-000043030000}"/>
    <cellStyle name="_KT (2)_4_Bao cao XDCB 2001 - T11 KH dieu chinh 20-11-THAI_trinh bao gia_DUONG DOI THI XA-THU HOI-HC 2-3-07 xls" xfId="655" xr:uid="{00000000-0005-0000-0000-000044030000}"/>
    <cellStyle name="_KT (2)_4_Bao cao XDCB 2001 - T11 KH dieu chinh 20-11-THAI_trinh bao gia_DUONG DOI THI XA-THU HOI-HC 2-3-07 xls_Song tra-750-tram nen" xfId="656" xr:uid="{00000000-0005-0000-0000-000045030000}"/>
    <cellStyle name="_KT (2)_4_Bao cao XDCB 2001 - T11 KH dieu chinh 20-11-THAI_trinh bao gia_DUONG DOI THI XA-THU HOI-HC 2-3-07 xls_Song tra-750-tram nen 2" xfId="2840" xr:uid="{00000000-0005-0000-0000-000046030000}"/>
    <cellStyle name="_KT (2)_4_Bao cao XDCB 2001 - T11 KH dieu chinh 20-11-THAI_trinh bao gia_Gia cuoc van chuyen" xfId="657" xr:uid="{00000000-0005-0000-0000-000047030000}"/>
    <cellStyle name="_KT (2)_4_Bao cao XDCB 2001 - T11 KH dieu chinh 20-11-THAI_trinh bao gia_Khu dan cu SO 2(TK BV-TC)-1" xfId="658" xr:uid="{00000000-0005-0000-0000-000048030000}"/>
    <cellStyle name="_KT (2)_4_Bao cao XDCB 2001 - T11 KH dieu chinh 20-11-THAI_trinh bao gia_KHU DAN CU SUOI VANG" xfId="659" xr:uid="{00000000-0005-0000-0000-000049030000}"/>
    <cellStyle name="_KT (2)_4_Bao cao XDCB 2001 - T11 KH dieu chinh 20-11-THAI_trinh bao gia_Khu TDC Phuoc Trung" xfId="660" xr:uid="{00000000-0005-0000-0000-00004A030000}"/>
    <cellStyle name="_KT (2)_4_Bao cao XDCB 2001 - T11 KH dieu chinh 20-11-THAI_trinh bao gia_Pham Van Thanh" xfId="661" xr:uid="{00000000-0005-0000-0000-00004B030000}"/>
    <cellStyle name="_KT (2)_4_Bao cao XDCB 2001 - T11 KH dieu chinh 20-11-THAI_trinh bao gia_Phuoc My Giai Doan 3-gia moi-14-10-uni" xfId="662" xr:uid="{00000000-0005-0000-0000-00004C030000}"/>
    <cellStyle name="_KT (2)_4_Bao cao XDCB 2001 - T11 KH dieu chinh 20-11-THAI_trinh bao gia_Song tra-750-tram nen" xfId="663" xr:uid="{00000000-0005-0000-0000-00004D030000}"/>
    <cellStyle name="_KT (2)_4_Bao cao XDCB 2001 - T11 KH dieu chinh 20-11-THAI_trinh bao gia_Song tra-750-tram nen 2" xfId="2841" xr:uid="{00000000-0005-0000-0000-00004E030000}"/>
    <cellStyle name="_KT (2)_4_Bao cao XDCB 2001 - T11 KH dieu chinh 20-11-THAI_trinh bao gia_Thuan Bac-sua lai" xfId="664" xr:uid="{00000000-0005-0000-0000-00004F030000}"/>
    <cellStyle name="_KT (2)_4_Bao cao XDCB 2001 - T11 KH dieu chinh 20-11-THAI_trinh bao gia_VKim" xfId="665" xr:uid="{00000000-0005-0000-0000-000050030000}"/>
    <cellStyle name="_KT (2)_4_Bao cao XDCB 2001 - T11 KH dieu chinh 20-11-THAI_Truong day nghe (20.1.06)" xfId="666" xr:uid="{00000000-0005-0000-0000-000051030000}"/>
    <cellStyle name="_KT (2)_4_Bao cao XDCB 2001 - T11 KH dieu chinh 20-11-THAI_Truong day nghe (20.1.06) 2" xfId="2842" xr:uid="{00000000-0005-0000-0000-000052030000}"/>
    <cellStyle name="_KT (2)_4_Book1" xfId="667" xr:uid="{00000000-0005-0000-0000-000053030000}"/>
    <cellStyle name="_KT (2)_4_Book1_06 Muoi Tri Hai" xfId="668" xr:uid="{00000000-0005-0000-0000-000054030000}"/>
    <cellStyle name="_KT (2)_4_Book1_07-PHUOC HA.XLS-1" xfId="669" xr:uid="{00000000-0005-0000-0000-000055030000}"/>
    <cellStyle name="_KT (2)_4_Book1_07-PHUOC HA.XLS-1_Song tra-750-tram nen" xfId="670" xr:uid="{00000000-0005-0000-0000-000056030000}"/>
    <cellStyle name="_KT (2)_4_Book1_07-PHUOC HA.XLS-1_Song tra-750-tram nen 2" xfId="2843" xr:uid="{00000000-0005-0000-0000-000057030000}"/>
    <cellStyle name="_KT (2)_4_Book1_1" xfId="671" xr:uid="{00000000-0005-0000-0000-000058030000}"/>
    <cellStyle name="_KT (2)_4_Book1_1_Song tra-750-tram nen" xfId="672" xr:uid="{00000000-0005-0000-0000-000059030000}"/>
    <cellStyle name="_KT (2)_4_Book1_1_Song tra-750-tram nen 2" xfId="2844" xr:uid="{00000000-0005-0000-0000-00005A030000}"/>
    <cellStyle name="_KT (2)_4_Book1_2" xfId="673" xr:uid="{00000000-0005-0000-0000-00005B030000}"/>
    <cellStyle name="_KT (2)_4_Book1_2_Song tra-750-tram nen" xfId="674" xr:uid="{00000000-0005-0000-0000-00005C030000}"/>
    <cellStyle name="_KT (2)_4_Book1_2_Song tra-750-tram nen 2" xfId="2845" xr:uid="{00000000-0005-0000-0000-00005D030000}"/>
    <cellStyle name="_KT (2)_4_Book1_2_trinh bao gia" xfId="675" xr:uid="{00000000-0005-0000-0000-00005E030000}"/>
    <cellStyle name="_KT (2)_4_Book1_2_trinh bao gia_Song tra-750-tram nen" xfId="676" xr:uid="{00000000-0005-0000-0000-00005F030000}"/>
    <cellStyle name="_KT (2)_4_Book1_2_trinh bao gia_Song tra-750-tram nen 2" xfId="2846" xr:uid="{00000000-0005-0000-0000-000060030000}"/>
    <cellStyle name="_KT (2)_4_Book1_3" xfId="677" xr:uid="{00000000-0005-0000-0000-000061030000}"/>
    <cellStyle name="_KT (2)_4_Book1_3_DT Ngoc Ha" xfId="678" xr:uid="{00000000-0005-0000-0000-000062030000}"/>
    <cellStyle name="_KT (2)_4_Book1_3_DT Ngoc Ha_Song tra-750-tram nen" xfId="679" xr:uid="{00000000-0005-0000-0000-000063030000}"/>
    <cellStyle name="_KT (2)_4_Book1_3_DT Ngoc Ha_Song tra-750-tram nen 2" xfId="2847" xr:uid="{00000000-0005-0000-0000-000064030000}"/>
    <cellStyle name="_KT (2)_4_Book1_3_Song tra-750-tram nen" xfId="680" xr:uid="{00000000-0005-0000-0000-000065030000}"/>
    <cellStyle name="_KT (2)_4_Book1_3_trinh bao gia" xfId="681" xr:uid="{00000000-0005-0000-0000-000066030000}"/>
    <cellStyle name="_KT (2)_4_Book1_3_trinh bao gia_Song tra-750-tram nen" xfId="682" xr:uid="{00000000-0005-0000-0000-000067030000}"/>
    <cellStyle name="_KT (2)_4_Book1_4" xfId="683" xr:uid="{00000000-0005-0000-0000-000068030000}"/>
    <cellStyle name="_KT (2)_4_Book1_6.BANG CHI TIET" xfId="684" xr:uid="{00000000-0005-0000-0000-000069030000}"/>
    <cellStyle name="_KT (2)_4_Book1_Book1" xfId="685" xr:uid="{00000000-0005-0000-0000-00006A030000}"/>
    <cellStyle name="_KT (2)_4_Book1_Book1_Song tra-750-tram nen" xfId="686" xr:uid="{00000000-0005-0000-0000-00006B030000}"/>
    <cellStyle name="_KT (2)_4_Book1_Book1_Song tra-750-tram nen 2" xfId="2848" xr:uid="{00000000-0005-0000-0000-00006C030000}"/>
    <cellStyle name="_KT (2)_4_Book1_DT Ngoc Ha" xfId="687" xr:uid="{00000000-0005-0000-0000-00006D030000}"/>
    <cellStyle name="_KT (2)_4_Book1_DT Ngoc Ha_Song tra-750-tram nen" xfId="688" xr:uid="{00000000-0005-0000-0000-00006E030000}"/>
    <cellStyle name="_KT (2)_4_Book1_DT Ngoc Ha_Song tra-750-tram nen 2" xfId="2849" xr:uid="{00000000-0005-0000-0000-00006F030000}"/>
    <cellStyle name="_KT (2)_4_Book1_Dutoan NC 22 khu vuc san bay  09-2006moi" xfId="3853" xr:uid="{00000000-0005-0000-0000-000070030000}"/>
    <cellStyle name="_KT (2)_4_Book1_KH2-06 PT LHT Binh Thanh 2003" xfId="689" xr:uid="{00000000-0005-0000-0000-000071030000}"/>
    <cellStyle name="_KT (2)_4_Book1_KH2-06 PT LHT Binh Thanh 2003_Song tra-750-tram nen" xfId="690" xr:uid="{00000000-0005-0000-0000-000072030000}"/>
    <cellStyle name="_KT (2)_4_Book1_KH2-06 PT LHT Binh Thanh 2003_Song tra-750-tram nen 2" xfId="2850" xr:uid="{00000000-0005-0000-0000-000073030000}"/>
    <cellStyle name="_KT (2)_4_Book1_MUOI TINH PHUOC MINH" xfId="691" xr:uid="{00000000-0005-0000-0000-000074030000}"/>
    <cellStyle name="_KT (2)_4_Book1_MUOI TINH PHUOC MINH_Song tra-750-tram nen" xfId="692" xr:uid="{00000000-0005-0000-0000-000075030000}"/>
    <cellStyle name="_KT (2)_4_Book1_MUOI TINH PHUOC MINH_Song tra-750-tram nen 2" xfId="2851" xr:uid="{00000000-0005-0000-0000-000076030000}"/>
    <cellStyle name="_KT (2)_4_Book1_Song tra-750-tram nen" xfId="693" xr:uid="{00000000-0005-0000-0000-000077030000}"/>
    <cellStyle name="_KT (2)_4_Book1_Song tra-750-tram nen 2" xfId="2852" xr:uid="{00000000-0005-0000-0000-000078030000}"/>
    <cellStyle name="_KT (2)_4_Book1_TDC Tan My" xfId="694" xr:uid="{00000000-0005-0000-0000-000079030000}"/>
    <cellStyle name="_KT (2)_4_Book1_TDC Tan My_Song tra-750-tram nen" xfId="695" xr:uid="{00000000-0005-0000-0000-00007A030000}"/>
    <cellStyle name="_KT (2)_4_Book1_TDC Tan My_Song tra-750-tram nen 2" xfId="2853" xr:uid="{00000000-0005-0000-0000-00007B030000}"/>
    <cellStyle name="_KT (2)_4_Book1_THANHLOC Khai Hung" xfId="696" xr:uid="{00000000-0005-0000-0000-00007C030000}"/>
    <cellStyle name="_KT (2)_4_Book1_THANHLOC Khai Hung_Song tra-750-tram nen" xfId="697" xr:uid="{00000000-0005-0000-0000-00007D030000}"/>
    <cellStyle name="_KT (2)_4_Book1_THANHLOC Khai Hung_Song tra-750-tram nen 2" xfId="2854" xr:uid="{00000000-0005-0000-0000-00007E030000}"/>
    <cellStyle name="_KT (2)_4_Book1_Truong day nghe (20.1.06)" xfId="698" xr:uid="{00000000-0005-0000-0000-00007F030000}"/>
    <cellStyle name="_KT (2)_4_Book1_Truong day nghe (20.1.06) 2" xfId="2855" xr:uid="{00000000-0005-0000-0000-000080030000}"/>
    <cellStyle name="_KT (2)_4_DAU NOI PL-CL TAI PHU LAMHC" xfId="699" xr:uid="{00000000-0005-0000-0000-000081030000}"/>
    <cellStyle name="_KT (2)_4_DAU NOI PL-CL TAI PHU LAMHC_Song tra-750-tram nen" xfId="700" xr:uid="{00000000-0005-0000-0000-000082030000}"/>
    <cellStyle name="_KT (2)_4_DAU NOI PL-CL TAI PHU LAMHC_Song tra-750-tram nen 2" xfId="2856" xr:uid="{00000000-0005-0000-0000-000083030000}"/>
    <cellStyle name="_KT (2)_4_Dien Ke thon Phuoc Nhon 2" xfId="701" xr:uid="{00000000-0005-0000-0000-000084030000}"/>
    <cellStyle name="_KT (2)_4_DT Ngoc Ha" xfId="702" xr:uid="{00000000-0005-0000-0000-000085030000}"/>
    <cellStyle name="_KT (2)_4_DT Ngoc Ha_Song tra-750-tram nen" xfId="703" xr:uid="{00000000-0005-0000-0000-000086030000}"/>
    <cellStyle name="_KT (2)_4_DT Ngoc Ha_Song tra-750-tram nen 2" xfId="2857" xr:uid="{00000000-0005-0000-0000-000087030000}"/>
    <cellStyle name="_KT (2)_4_DTCDT MR.2N110.HOCMON.TDTOAN.CCUNG" xfId="704" xr:uid="{00000000-0005-0000-0000-000088030000}"/>
    <cellStyle name="_KT (2)_4_DTCDT MR.2N110.HOCMON.TDTOAN.CCUNG_Song tra-750-tram nen" xfId="705" xr:uid="{00000000-0005-0000-0000-000089030000}"/>
    <cellStyle name="_KT (2)_4_DTCDT MR.2N110.HOCMON.TDTOAN.CCUNG_Song tra-750-tram nen 2" xfId="2858" xr:uid="{00000000-0005-0000-0000-00008A030000}"/>
    <cellStyle name="_KT (2)_4_Du toan thay ong ep va da composite sua" xfId="3854" xr:uid="{00000000-0005-0000-0000-00008B030000}"/>
    <cellStyle name="_KT (2)_4_Du toan tram GDEN2 giai doan 2" xfId="706" xr:uid="{00000000-0005-0000-0000-00008C030000}"/>
    <cellStyle name="_KT (2)_4_Du toan tram PHUOC NHON 2 giai doan 2" xfId="707" xr:uid="{00000000-0005-0000-0000-00008D030000}"/>
    <cellStyle name="_KT (2)_4_Dutoan NC 22 khu vuc san bay  09-2006moi" xfId="3855" xr:uid="{00000000-0005-0000-0000-00008E030000}"/>
    <cellStyle name="_KT (2)_4_DUTOAN_DAMDOI_PD1" xfId="708" xr:uid="{00000000-0005-0000-0000-00008F030000}"/>
    <cellStyle name="_KT (2)_4_DUTOAN_DAMDOI_PD1_Song tra-750-tram nen" xfId="709" xr:uid="{00000000-0005-0000-0000-000090030000}"/>
    <cellStyle name="_KT (2)_4_DUTOAN_DAMDOI_PD1_Song tra-750-tram nen 2" xfId="2859" xr:uid="{00000000-0005-0000-0000-000091030000}"/>
    <cellStyle name="_KT (2)_4_KH2-06 PT LHT Binh Thanh 2003" xfId="710" xr:uid="{00000000-0005-0000-0000-000092030000}"/>
    <cellStyle name="_KT (2)_4_KH2-06 PT LHT Binh Thanh 2003_Book1" xfId="711" xr:uid="{00000000-0005-0000-0000-000093030000}"/>
    <cellStyle name="_KT (2)_4_KH2-06 PT LHT Binh Thanh 2003_Book1_Song tra-750-tram nen" xfId="712" xr:uid="{00000000-0005-0000-0000-000094030000}"/>
    <cellStyle name="_KT (2)_4_KH2-06 PT LHT Binh Thanh 2003_Book1_Song tra-750-tram nen 2" xfId="2860" xr:uid="{00000000-0005-0000-0000-000095030000}"/>
    <cellStyle name="_KT (2)_4_KH2-06 PT LHT Binh Thanh 2003_Song tra-750-tram nen" xfId="713" xr:uid="{00000000-0005-0000-0000-000096030000}"/>
    <cellStyle name="_KT (2)_4_KH2-06 PT LHT Binh Thanh 2003_Song tra-750-tram nen 2" xfId="2861" xr:uid="{00000000-0005-0000-0000-000097030000}"/>
    <cellStyle name="_KT (2)_4_KH2-06 PT LHT Binh Thanh 2003_trinh bao gia" xfId="714" xr:uid="{00000000-0005-0000-0000-000098030000}"/>
    <cellStyle name="_KT (2)_4_KH2-06 PT LHT Binh Thanh 2003_trinh bao gia_06 Thuy san Ninh Phuoc (luu 21-06)" xfId="715" xr:uid="{00000000-0005-0000-0000-000099030000}"/>
    <cellStyle name="_KT (2)_4_KH2-06 PT LHT Binh Thanh 2003_trinh bao gia_BAO TRO XH-DU TOAN" xfId="716" xr:uid="{00000000-0005-0000-0000-00009A030000}"/>
    <cellStyle name="_KT (2)_4_KH2-06 PT LHT Binh Thanh 2003_trinh bao gia_BD" xfId="717" xr:uid="{00000000-0005-0000-0000-00009B030000}"/>
    <cellStyle name="_KT (2)_4_KH2-06 PT LHT Binh Thanh 2003_trinh bao gia_DI DOI TRUONG LE QUY DON-HC HOAN CONG" xfId="718" xr:uid="{00000000-0005-0000-0000-00009C030000}"/>
    <cellStyle name="_KT (2)_4_KH2-06 PT LHT Binh Thanh 2003_trinh bao gia_DUONG DOI TAN HOI-NEW 21-8-2006" xfId="719" xr:uid="{00000000-0005-0000-0000-00009D030000}"/>
    <cellStyle name="_KT (2)_4_KH2-06 PT LHT Binh Thanh 2003_trinh bao gia_DUONG DOI THI XA-THU HOI-HC 2-3-07 xls" xfId="720" xr:uid="{00000000-0005-0000-0000-00009E030000}"/>
    <cellStyle name="_KT (2)_4_KH2-06 PT LHT Binh Thanh 2003_trinh bao gia_DUONG DOI THI XA-THU HOI-HC 2-3-07 xls_Song tra-750-tram nen" xfId="721" xr:uid="{00000000-0005-0000-0000-00009F030000}"/>
    <cellStyle name="_KT (2)_4_KH2-06 PT LHT Binh Thanh 2003_trinh bao gia_DUONG DOI THI XA-THU HOI-HC 2-3-07 xls_Song tra-750-tram nen 2" xfId="2862" xr:uid="{00000000-0005-0000-0000-0000A0030000}"/>
    <cellStyle name="_KT (2)_4_KH2-06 PT LHT Binh Thanh 2003_trinh bao gia_Gia cuoc van chuyen" xfId="722" xr:uid="{00000000-0005-0000-0000-0000A1030000}"/>
    <cellStyle name="_KT (2)_4_KH2-06 PT LHT Binh Thanh 2003_trinh bao gia_Khu dan cu SO 2(TK BV-TC)-1" xfId="723" xr:uid="{00000000-0005-0000-0000-0000A2030000}"/>
    <cellStyle name="_KT (2)_4_KH2-06 PT LHT Binh Thanh 2003_trinh bao gia_KHU DAN CU SUOI VANG" xfId="724" xr:uid="{00000000-0005-0000-0000-0000A3030000}"/>
    <cellStyle name="_KT (2)_4_KH2-06 PT LHT Binh Thanh 2003_trinh bao gia_Khu TDC Phuoc Trung" xfId="725" xr:uid="{00000000-0005-0000-0000-0000A4030000}"/>
    <cellStyle name="_KT (2)_4_KH2-06 PT LHT Binh Thanh 2003_trinh bao gia_Pham Van Thanh" xfId="726" xr:uid="{00000000-0005-0000-0000-0000A5030000}"/>
    <cellStyle name="_KT (2)_4_KH2-06 PT LHT Binh Thanh 2003_trinh bao gia_Phuoc My Giai Doan 3-gia moi-14-10-uni" xfId="727" xr:uid="{00000000-0005-0000-0000-0000A6030000}"/>
    <cellStyle name="_KT (2)_4_KH2-06 PT LHT Binh Thanh 2003_trinh bao gia_Song tra-750-tram nen" xfId="728" xr:uid="{00000000-0005-0000-0000-0000A7030000}"/>
    <cellStyle name="_KT (2)_4_KH2-06 PT LHT Binh Thanh 2003_trinh bao gia_Song tra-750-tram nen 2" xfId="2863" xr:uid="{00000000-0005-0000-0000-0000A8030000}"/>
    <cellStyle name="_KT (2)_4_KH2-06 PT LHT Binh Thanh 2003_trinh bao gia_Thuan Bac-sua lai" xfId="729" xr:uid="{00000000-0005-0000-0000-0000A9030000}"/>
    <cellStyle name="_KT (2)_4_KH2-06 PT LHT Binh Thanh 2003_trinh bao gia_VKim" xfId="730" xr:uid="{00000000-0005-0000-0000-0000AA030000}"/>
    <cellStyle name="_KT (2)_4_KINH DOANH_ SCL 2015" xfId="3856" xr:uid="{00000000-0005-0000-0000-0000AB030000}"/>
    <cellStyle name="_KT (2)_4_Lora-tungchau" xfId="731" xr:uid="{00000000-0005-0000-0000-0000AC030000}"/>
    <cellStyle name="_KT (2)_4_Lora-tungchau_Song tra-750-tram nen" xfId="732" xr:uid="{00000000-0005-0000-0000-0000AD030000}"/>
    <cellStyle name="_KT (2)_4_Lora-tungchau_Song tra-750-tram nen 2" xfId="2864" xr:uid="{00000000-0005-0000-0000-0000AE030000}"/>
    <cellStyle name="_KT (2)_4_MUOI TINH PHUOC MINH" xfId="733" xr:uid="{00000000-0005-0000-0000-0000AF030000}"/>
    <cellStyle name="_KT (2)_4_MUOI TINH PHUOC MINH_Song tra-750-tram nen" xfId="734" xr:uid="{00000000-0005-0000-0000-0000B0030000}"/>
    <cellStyle name="_KT (2)_4_MUOI TINH PHUOC MINH_Song tra-750-tram nen 2" xfId="2865" xr:uid="{00000000-0005-0000-0000-0000B1030000}"/>
    <cellStyle name="_KT (2)_4_PGIA-phieu tham tra Kho bac" xfId="735" xr:uid="{00000000-0005-0000-0000-0000B2030000}"/>
    <cellStyle name="_KT (2)_4_PGIA-phieu tham tra Kho bac_Book1" xfId="736" xr:uid="{00000000-0005-0000-0000-0000B3030000}"/>
    <cellStyle name="_KT (2)_4_PGIA-phieu tham tra Kho bac_Book1_Song tra-750-tram nen" xfId="737" xr:uid="{00000000-0005-0000-0000-0000B4030000}"/>
    <cellStyle name="_KT (2)_4_PGIA-phieu tham tra Kho bac_Book1_Song tra-750-tram nen 2" xfId="2866" xr:uid="{00000000-0005-0000-0000-0000B5030000}"/>
    <cellStyle name="_KT (2)_4_PGIA-phieu tham tra Kho bac_DT Ngoc Ha" xfId="738" xr:uid="{00000000-0005-0000-0000-0000B6030000}"/>
    <cellStyle name="_KT (2)_4_PGIA-phieu tham tra Kho bac_DT Ngoc Ha_Song tra-750-tram nen" xfId="739" xr:uid="{00000000-0005-0000-0000-0000B7030000}"/>
    <cellStyle name="_KT (2)_4_PGIA-phieu tham tra Kho bac_DT Ngoc Ha_Song tra-750-tram nen 2" xfId="2867" xr:uid="{00000000-0005-0000-0000-0000B8030000}"/>
    <cellStyle name="_KT (2)_4_PGIA-phieu tham tra Kho bac_MUOI TINH PHUOC MINH" xfId="740" xr:uid="{00000000-0005-0000-0000-0000B9030000}"/>
    <cellStyle name="_KT (2)_4_PGIA-phieu tham tra Kho bac_MUOI TINH PHUOC MINH_Song tra-750-tram nen" xfId="741" xr:uid="{00000000-0005-0000-0000-0000BA030000}"/>
    <cellStyle name="_KT (2)_4_PGIA-phieu tham tra Kho bac_MUOI TINH PHUOC MINH_Song tra-750-tram nen 2" xfId="2868" xr:uid="{00000000-0005-0000-0000-0000BB030000}"/>
    <cellStyle name="_KT (2)_4_PGIA-phieu tham tra Kho bac_Song tra-750-tram nen" xfId="742" xr:uid="{00000000-0005-0000-0000-0000BC030000}"/>
    <cellStyle name="_KT (2)_4_PGIA-phieu tham tra Kho bac_Song tra-750-tram nen 2" xfId="2869" xr:uid="{00000000-0005-0000-0000-0000BD030000}"/>
    <cellStyle name="_KT (2)_4_PGIA-phieu tham tra Kho bac_TDC Tan My" xfId="743" xr:uid="{00000000-0005-0000-0000-0000BE030000}"/>
    <cellStyle name="_KT (2)_4_PGIA-phieu tham tra Kho bac_TDC Tan My_Song tra-750-tram nen" xfId="744" xr:uid="{00000000-0005-0000-0000-0000BF030000}"/>
    <cellStyle name="_KT (2)_4_PGIA-phieu tham tra Kho bac_TDC Tan My_Song tra-750-tram nen 2" xfId="2870" xr:uid="{00000000-0005-0000-0000-0000C0030000}"/>
    <cellStyle name="_KT (2)_4_PGIA-phieu tham tra Kho bac_trinh bao gia" xfId="745" xr:uid="{00000000-0005-0000-0000-0000C1030000}"/>
    <cellStyle name="_KT (2)_4_PGIA-phieu tham tra Kho bac_trinh bao gia_06 Thuy san Ninh Phuoc (luu 21-06)" xfId="746" xr:uid="{00000000-0005-0000-0000-0000C2030000}"/>
    <cellStyle name="_KT (2)_4_PGIA-phieu tham tra Kho bac_trinh bao gia_BAO TRO XH-DU TOAN" xfId="747" xr:uid="{00000000-0005-0000-0000-0000C3030000}"/>
    <cellStyle name="_KT (2)_4_PGIA-phieu tham tra Kho bac_trinh bao gia_BD" xfId="748" xr:uid="{00000000-0005-0000-0000-0000C4030000}"/>
    <cellStyle name="_KT (2)_4_PGIA-phieu tham tra Kho bac_trinh bao gia_DI DOI TRUONG LE QUY DON-HC HOAN CONG" xfId="749" xr:uid="{00000000-0005-0000-0000-0000C5030000}"/>
    <cellStyle name="_KT (2)_4_PGIA-phieu tham tra Kho bac_trinh bao gia_DUONG DOI TAN HOI-NEW 21-8-2006" xfId="750" xr:uid="{00000000-0005-0000-0000-0000C6030000}"/>
    <cellStyle name="_KT (2)_4_PGIA-phieu tham tra Kho bac_trinh bao gia_DUONG DOI THI XA-THU HOI-HC 2-3-07 xls" xfId="751" xr:uid="{00000000-0005-0000-0000-0000C7030000}"/>
    <cellStyle name="_KT (2)_4_PGIA-phieu tham tra Kho bac_trinh bao gia_DUONG DOI THI XA-THU HOI-HC 2-3-07 xls_Song tra-750-tram nen" xfId="752" xr:uid="{00000000-0005-0000-0000-0000C8030000}"/>
    <cellStyle name="_KT (2)_4_PGIA-phieu tham tra Kho bac_trinh bao gia_DUONG DOI THI XA-THU HOI-HC 2-3-07 xls_Song tra-750-tram nen 2" xfId="2871" xr:uid="{00000000-0005-0000-0000-0000C9030000}"/>
    <cellStyle name="_KT (2)_4_PGIA-phieu tham tra Kho bac_trinh bao gia_Gia cuoc van chuyen" xfId="753" xr:uid="{00000000-0005-0000-0000-0000CA030000}"/>
    <cellStyle name="_KT (2)_4_PGIA-phieu tham tra Kho bac_trinh bao gia_Khu dan cu SO 2(TK BV-TC)-1" xfId="754" xr:uid="{00000000-0005-0000-0000-0000CB030000}"/>
    <cellStyle name="_KT (2)_4_PGIA-phieu tham tra Kho bac_trinh bao gia_KHU DAN CU SUOI VANG" xfId="755" xr:uid="{00000000-0005-0000-0000-0000CC030000}"/>
    <cellStyle name="_KT (2)_4_PGIA-phieu tham tra Kho bac_trinh bao gia_Khu TDC Phuoc Trung" xfId="756" xr:uid="{00000000-0005-0000-0000-0000CD030000}"/>
    <cellStyle name="_KT (2)_4_PGIA-phieu tham tra Kho bac_trinh bao gia_Pham Van Thanh" xfId="757" xr:uid="{00000000-0005-0000-0000-0000CE030000}"/>
    <cellStyle name="_KT (2)_4_PGIA-phieu tham tra Kho bac_trinh bao gia_Phuoc My Giai Doan 3-gia moi-14-10-uni" xfId="758" xr:uid="{00000000-0005-0000-0000-0000CF030000}"/>
    <cellStyle name="_KT (2)_4_PGIA-phieu tham tra Kho bac_trinh bao gia_Song tra-750-tram nen" xfId="759" xr:uid="{00000000-0005-0000-0000-0000D0030000}"/>
    <cellStyle name="_KT (2)_4_PGIA-phieu tham tra Kho bac_trinh bao gia_Song tra-750-tram nen 2" xfId="2872" xr:uid="{00000000-0005-0000-0000-0000D1030000}"/>
    <cellStyle name="_KT (2)_4_PGIA-phieu tham tra Kho bac_trinh bao gia_Thuan Bac-sua lai" xfId="760" xr:uid="{00000000-0005-0000-0000-0000D2030000}"/>
    <cellStyle name="_KT (2)_4_PGIA-phieu tham tra Kho bac_trinh bao gia_VKim" xfId="761" xr:uid="{00000000-0005-0000-0000-0000D3030000}"/>
    <cellStyle name="_KT (2)_4_PGIA-phieu tham tra Kho bac_Truong day nghe (20.1.06)" xfId="762" xr:uid="{00000000-0005-0000-0000-0000D4030000}"/>
    <cellStyle name="_KT (2)_4_PGIA-phieu tham tra Kho bac_Truong day nghe (20.1.06) 2" xfId="2873" xr:uid="{00000000-0005-0000-0000-0000D5030000}"/>
    <cellStyle name="_KT (2)_4_PHUOC HUU" xfId="763" xr:uid="{00000000-0005-0000-0000-0000D6030000}"/>
    <cellStyle name="_KT (2)_4_PHUOC HUU_Song tra-750-tram nen" xfId="764" xr:uid="{00000000-0005-0000-0000-0000D7030000}"/>
    <cellStyle name="_KT (2)_4_PHUOC HUU_Song tra-750-tram nen 2" xfId="2874" xr:uid="{00000000-0005-0000-0000-0000D8030000}"/>
    <cellStyle name="_KT (2)_4_PT02-02" xfId="765" xr:uid="{00000000-0005-0000-0000-0000D9030000}"/>
    <cellStyle name="_KT (2)_4_PT02-02_Book1" xfId="766" xr:uid="{00000000-0005-0000-0000-0000DA030000}"/>
    <cellStyle name="_KT (2)_4_PT02-02_Book1_Song tra-750-tram nen" xfId="767" xr:uid="{00000000-0005-0000-0000-0000DB030000}"/>
    <cellStyle name="_KT (2)_4_PT02-02_Book1_Song tra-750-tram nen 2" xfId="2875" xr:uid="{00000000-0005-0000-0000-0000DC030000}"/>
    <cellStyle name="_KT (2)_4_PT02-02_DT Ngoc Ha" xfId="768" xr:uid="{00000000-0005-0000-0000-0000DD030000}"/>
    <cellStyle name="_KT (2)_4_PT02-02_DT Ngoc Ha_Song tra-750-tram nen" xfId="769" xr:uid="{00000000-0005-0000-0000-0000DE030000}"/>
    <cellStyle name="_KT (2)_4_PT02-02_DT Ngoc Ha_Song tra-750-tram nen 2" xfId="2876" xr:uid="{00000000-0005-0000-0000-0000DF030000}"/>
    <cellStyle name="_KT (2)_4_PT02-02_MUOI TINH PHUOC MINH" xfId="770" xr:uid="{00000000-0005-0000-0000-0000E0030000}"/>
    <cellStyle name="_KT (2)_4_PT02-02_MUOI TINH PHUOC MINH_Song tra-750-tram nen" xfId="771" xr:uid="{00000000-0005-0000-0000-0000E1030000}"/>
    <cellStyle name="_KT (2)_4_PT02-02_MUOI TINH PHUOC MINH_Song tra-750-tram nen 2" xfId="2877" xr:uid="{00000000-0005-0000-0000-0000E2030000}"/>
    <cellStyle name="_KT (2)_4_PT02-02_Song tra-750-tram nen" xfId="772" xr:uid="{00000000-0005-0000-0000-0000E3030000}"/>
    <cellStyle name="_KT (2)_4_PT02-02_Song tra-750-tram nen 2" xfId="2878" xr:uid="{00000000-0005-0000-0000-0000E4030000}"/>
    <cellStyle name="_KT (2)_4_PT02-02_TDC Tan My" xfId="773" xr:uid="{00000000-0005-0000-0000-0000E5030000}"/>
    <cellStyle name="_KT (2)_4_PT02-02_TDC Tan My_Song tra-750-tram nen" xfId="774" xr:uid="{00000000-0005-0000-0000-0000E6030000}"/>
    <cellStyle name="_KT (2)_4_PT02-02_TDC Tan My_Song tra-750-tram nen 2" xfId="2879" xr:uid="{00000000-0005-0000-0000-0000E7030000}"/>
    <cellStyle name="_KT (2)_4_PT02-02_trinh bao gia" xfId="775" xr:uid="{00000000-0005-0000-0000-0000E8030000}"/>
    <cellStyle name="_KT (2)_4_PT02-02_trinh bao gia_06 Thuy san Ninh Phuoc (luu 21-06)" xfId="776" xr:uid="{00000000-0005-0000-0000-0000E9030000}"/>
    <cellStyle name="_KT (2)_4_PT02-02_trinh bao gia_BAO TRO XH-DU TOAN" xfId="777" xr:uid="{00000000-0005-0000-0000-0000EA030000}"/>
    <cellStyle name="_KT (2)_4_PT02-02_trinh bao gia_BD" xfId="778" xr:uid="{00000000-0005-0000-0000-0000EB030000}"/>
    <cellStyle name="_KT (2)_4_PT02-02_trinh bao gia_DI DOI TRUONG LE QUY DON-HC HOAN CONG" xfId="779" xr:uid="{00000000-0005-0000-0000-0000EC030000}"/>
    <cellStyle name="_KT (2)_4_PT02-02_trinh bao gia_DUONG DOI TAN HOI-NEW 21-8-2006" xfId="780" xr:uid="{00000000-0005-0000-0000-0000ED030000}"/>
    <cellStyle name="_KT (2)_4_PT02-02_trinh bao gia_DUONG DOI THI XA-THU HOI-HC 2-3-07 xls" xfId="781" xr:uid="{00000000-0005-0000-0000-0000EE030000}"/>
    <cellStyle name="_KT (2)_4_PT02-02_trinh bao gia_DUONG DOI THI XA-THU HOI-HC 2-3-07 xls_Song tra-750-tram nen" xfId="782" xr:uid="{00000000-0005-0000-0000-0000EF030000}"/>
    <cellStyle name="_KT (2)_4_PT02-02_trinh bao gia_DUONG DOI THI XA-THU HOI-HC 2-3-07 xls_Song tra-750-tram nen 2" xfId="2880" xr:uid="{00000000-0005-0000-0000-0000F0030000}"/>
    <cellStyle name="_KT (2)_4_PT02-02_trinh bao gia_Gia cuoc van chuyen" xfId="783" xr:uid="{00000000-0005-0000-0000-0000F1030000}"/>
    <cellStyle name="_KT (2)_4_PT02-02_trinh bao gia_Khu dan cu SO 2(TK BV-TC)-1" xfId="784" xr:uid="{00000000-0005-0000-0000-0000F2030000}"/>
    <cellStyle name="_KT (2)_4_PT02-02_trinh bao gia_KHU DAN CU SUOI VANG" xfId="785" xr:uid="{00000000-0005-0000-0000-0000F3030000}"/>
    <cellStyle name="_KT (2)_4_PT02-02_trinh bao gia_Khu TDC Phuoc Trung" xfId="786" xr:uid="{00000000-0005-0000-0000-0000F4030000}"/>
    <cellStyle name="_KT (2)_4_PT02-02_trinh bao gia_Pham Van Thanh" xfId="787" xr:uid="{00000000-0005-0000-0000-0000F5030000}"/>
    <cellStyle name="_KT (2)_4_PT02-02_trinh bao gia_Phuoc My Giai Doan 3-gia moi-14-10-uni" xfId="788" xr:uid="{00000000-0005-0000-0000-0000F6030000}"/>
    <cellStyle name="_KT (2)_4_PT02-02_trinh bao gia_Song tra-750-tram nen" xfId="789" xr:uid="{00000000-0005-0000-0000-0000F7030000}"/>
    <cellStyle name="_KT (2)_4_PT02-02_trinh bao gia_Song tra-750-tram nen 2" xfId="2881" xr:uid="{00000000-0005-0000-0000-0000F8030000}"/>
    <cellStyle name="_KT (2)_4_PT02-02_trinh bao gia_Thuan Bac-sua lai" xfId="790" xr:uid="{00000000-0005-0000-0000-0000F9030000}"/>
    <cellStyle name="_KT (2)_4_PT02-02_trinh bao gia_VKim" xfId="791" xr:uid="{00000000-0005-0000-0000-0000FA030000}"/>
    <cellStyle name="_KT (2)_4_PT02-02_Truong day nghe (20.1.06)" xfId="792" xr:uid="{00000000-0005-0000-0000-0000FB030000}"/>
    <cellStyle name="_KT (2)_4_PT02-02_Truong day nghe (20.1.06) 2" xfId="2882" xr:uid="{00000000-0005-0000-0000-0000FC030000}"/>
    <cellStyle name="_KT (2)_4_PT02-03" xfId="793" xr:uid="{00000000-0005-0000-0000-0000FD030000}"/>
    <cellStyle name="_KT (2)_4_PT02-03_Book1" xfId="794" xr:uid="{00000000-0005-0000-0000-0000FE030000}"/>
    <cellStyle name="_KT (2)_4_PT02-03_Book1_Song tra-750-tram nen" xfId="795" xr:uid="{00000000-0005-0000-0000-0000FF030000}"/>
    <cellStyle name="_KT (2)_4_PT02-03_Book1_Song tra-750-tram nen 2" xfId="2883" xr:uid="{00000000-0005-0000-0000-000000040000}"/>
    <cellStyle name="_KT (2)_4_PT02-03_DT Ngoc Ha" xfId="796" xr:uid="{00000000-0005-0000-0000-000001040000}"/>
    <cellStyle name="_KT (2)_4_PT02-03_DT Ngoc Ha_Song tra-750-tram nen" xfId="797" xr:uid="{00000000-0005-0000-0000-000002040000}"/>
    <cellStyle name="_KT (2)_4_PT02-03_DT Ngoc Ha_Song tra-750-tram nen 2" xfId="2884" xr:uid="{00000000-0005-0000-0000-000003040000}"/>
    <cellStyle name="_KT (2)_4_PT02-03_MUOI TINH PHUOC MINH" xfId="798" xr:uid="{00000000-0005-0000-0000-000004040000}"/>
    <cellStyle name="_KT (2)_4_PT02-03_MUOI TINH PHUOC MINH_Song tra-750-tram nen" xfId="799" xr:uid="{00000000-0005-0000-0000-000005040000}"/>
    <cellStyle name="_KT (2)_4_PT02-03_MUOI TINH PHUOC MINH_Song tra-750-tram nen 2" xfId="2885" xr:uid="{00000000-0005-0000-0000-000006040000}"/>
    <cellStyle name="_KT (2)_4_PT02-03_Song tra-750-tram nen" xfId="800" xr:uid="{00000000-0005-0000-0000-000007040000}"/>
    <cellStyle name="_KT (2)_4_PT02-03_Song tra-750-tram nen 2" xfId="2886" xr:uid="{00000000-0005-0000-0000-000008040000}"/>
    <cellStyle name="_KT (2)_4_PT02-03_TDC Tan My" xfId="801" xr:uid="{00000000-0005-0000-0000-000009040000}"/>
    <cellStyle name="_KT (2)_4_PT02-03_TDC Tan My_Song tra-750-tram nen" xfId="802" xr:uid="{00000000-0005-0000-0000-00000A040000}"/>
    <cellStyle name="_KT (2)_4_PT02-03_TDC Tan My_Song tra-750-tram nen 2" xfId="2887" xr:uid="{00000000-0005-0000-0000-00000B040000}"/>
    <cellStyle name="_KT (2)_4_PT02-03_trinh bao gia" xfId="803" xr:uid="{00000000-0005-0000-0000-00000C040000}"/>
    <cellStyle name="_KT (2)_4_PT02-03_trinh bao gia_06 Thuy san Ninh Phuoc (luu 21-06)" xfId="804" xr:uid="{00000000-0005-0000-0000-00000D040000}"/>
    <cellStyle name="_KT (2)_4_PT02-03_trinh bao gia_BAO TRO XH-DU TOAN" xfId="805" xr:uid="{00000000-0005-0000-0000-00000E040000}"/>
    <cellStyle name="_KT (2)_4_PT02-03_trinh bao gia_BD" xfId="806" xr:uid="{00000000-0005-0000-0000-00000F040000}"/>
    <cellStyle name="_KT (2)_4_PT02-03_trinh bao gia_DI DOI TRUONG LE QUY DON-HC HOAN CONG" xfId="807" xr:uid="{00000000-0005-0000-0000-000010040000}"/>
    <cellStyle name="_KT (2)_4_PT02-03_trinh bao gia_DUONG DOI TAN HOI-NEW 21-8-2006" xfId="808" xr:uid="{00000000-0005-0000-0000-000011040000}"/>
    <cellStyle name="_KT (2)_4_PT02-03_trinh bao gia_DUONG DOI THI XA-THU HOI-HC 2-3-07 xls" xfId="809" xr:uid="{00000000-0005-0000-0000-000012040000}"/>
    <cellStyle name="_KT (2)_4_PT02-03_trinh bao gia_DUONG DOI THI XA-THU HOI-HC 2-3-07 xls_Song tra-750-tram nen" xfId="810" xr:uid="{00000000-0005-0000-0000-000013040000}"/>
    <cellStyle name="_KT (2)_4_PT02-03_trinh bao gia_DUONG DOI THI XA-THU HOI-HC 2-3-07 xls_Song tra-750-tram nen 2" xfId="2888" xr:uid="{00000000-0005-0000-0000-000014040000}"/>
    <cellStyle name="_KT (2)_4_PT02-03_trinh bao gia_Gia cuoc van chuyen" xfId="811" xr:uid="{00000000-0005-0000-0000-000015040000}"/>
    <cellStyle name="_KT (2)_4_PT02-03_trinh bao gia_Khu dan cu SO 2(TK BV-TC)-1" xfId="812" xr:uid="{00000000-0005-0000-0000-000016040000}"/>
    <cellStyle name="_KT (2)_4_PT02-03_trinh bao gia_KHU DAN CU SUOI VANG" xfId="813" xr:uid="{00000000-0005-0000-0000-000017040000}"/>
    <cellStyle name="_KT (2)_4_PT02-03_trinh bao gia_Khu TDC Phuoc Trung" xfId="814" xr:uid="{00000000-0005-0000-0000-000018040000}"/>
    <cellStyle name="_KT (2)_4_PT02-03_trinh bao gia_Pham Van Thanh" xfId="815" xr:uid="{00000000-0005-0000-0000-000019040000}"/>
    <cellStyle name="_KT (2)_4_PT02-03_trinh bao gia_Phuoc My Giai Doan 3-gia moi-14-10-uni" xfId="816" xr:uid="{00000000-0005-0000-0000-00001A040000}"/>
    <cellStyle name="_KT (2)_4_PT02-03_trinh bao gia_Song tra-750-tram nen" xfId="817" xr:uid="{00000000-0005-0000-0000-00001B040000}"/>
    <cellStyle name="_KT (2)_4_PT02-03_trinh bao gia_Song tra-750-tram nen 2" xfId="2889" xr:uid="{00000000-0005-0000-0000-00001C040000}"/>
    <cellStyle name="_KT (2)_4_PT02-03_trinh bao gia_Thuan Bac-sua lai" xfId="818" xr:uid="{00000000-0005-0000-0000-00001D040000}"/>
    <cellStyle name="_KT (2)_4_PT02-03_trinh bao gia_VKim" xfId="819" xr:uid="{00000000-0005-0000-0000-00001E040000}"/>
    <cellStyle name="_KT (2)_4_PT02-03_Truong day nghe (20.1.06)" xfId="820" xr:uid="{00000000-0005-0000-0000-00001F040000}"/>
    <cellStyle name="_KT (2)_4_PT02-03_Truong day nghe (20.1.06) 2" xfId="2890" xr:uid="{00000000-0005-0000-0000-000020040000}"/>
    <cellStyle name="_KT (2)_4_Qt-HT3PQ1(CauKho)" xfId="821" xr:uid="{00000000-0005-0000-0000-000021040000}"/>
    <cellStyle name="_KT (2)_4_Qt-HT3PQ1(CauKho)_Song tra-750-tram nen" xfId="822" xr:uid="{00000000-0005-0000-0000-000022040000}"/>
    <cellStyle name="_KT (2)_4_Qt-HT3PQ1(CauKho)_Song tra-750-tram nen 2" xfId="2891" xr:uid="{00000000-0005-0000-0000-000023040000}"/>
    <cellStyle name="_KT (2)_4_SCL 07-Phuoc Hau-unicod" xfId="823" xr:uid="{00000000-0005-0000-0000-000024040000}"/>
    <cellStyle name="_KT (2)_4_SCL tram GO DEN - GO THAO" xfId="824" xr:uid="{00000000-0005-0000-0000-000025040000}"/>
    <cellStyle name="_KT (2)_4_SO TRU TRUNG AP SCL GUI ANH PHUONG" xfId="3857" xr:uid="{00000000-0005-0000-0000-000026040000}"/>
    <cellStyle name="_KT (2)_4_Song tra-750-tram nen" xfId="825" xr:uid="{00000000-0005-0000-0000-000027040000}"/>
    <cellStyle name="_KT (2)_4_Song tra-750-tram nen 2" xfId="2892" xr:uid="{00000000-0005-0000-0000-000028040000}"/>
    <cellStyle name="_KT (2)_4_sua chua lon Thao 1" xfId="3858" xr:uid="{00000000-0005-0000-0000-000029040000}"/>
    <cellStyle name="_KT (2)_4_TDC Tan My" xfId="826" xr:uid="{00000000-0005-0000-0000-00002A040000}"/>
    <cellStyle name="_KT (2)_4_TDC Tan My_Song tra-750-tram nen" xfId="827" xr:uid="{00000000-0005-0000-0000-00002B040000}"/>
    <cellStyle name="_KT (2)_4_TDC Tan My_Song tra-750-tram nen 2" xfId="2893" xr:uid="{00000000-0005-0000-0000-00002C040000}"/>
    <cellStyle name="_KT (2)_4_TDT-MAU2" xfId="828" xr:uid="{00000000-0005-0000-0000-00002D040000}"/>
    <cellStyle name="_KT (2)_4_TDT-MAU2_Song tra-750-tram nen" xfId="829" xr:uid="{00000000-0005-0000-0000-00002E040000}"/>
    <cellStyle name="_KT (2)_4_TDT-MAU2_Song tra-750-tram nen 2" xfId="2894" xr:uid="{00000000-0005-0000-0000-00002F040000}"/>
    <cellStyle name="_KT (2)_4_TG-TH" xfId="830" xr:uid="{00000000-0005-0000-0000-000030040000}"/>
    <cellStyle name="_KT (2)_4_TG-TH_Du toan thay ong ep va da composite sua" xfId="3859" xr:uid="{00000000-0005-0000-0000-000031040000}"/>
    <cellStyle name="_KT (2)_4_TG-TH_Song tra-750-tram nen" xfId="831" xr:uid="{00000000-0005-0000-0000-000032040000}"/>
    <cellStyle name="_KT (2)_4_THANHLOC Khai Hung" xfId="832" xr:uid="{00000000-0005-0000-0000-000033040000}"/>
    <cellStyle name="_KT (2)_4_THANHLOC Khai Hung_Book1" xfId="833" xr:uid="{00000000-0005-0000-0000-000034040000}"/>
    <cellStyle name="_KT (2)_4_THANHLOC Khai Hung_Book1_Song tra-750-tram nen" xfId="834" xr:uid="{00000000-0005-0000-0000-000035040000}"/>
    <cellStyle name="_KT (2)_4_THANHLOC Khai Hung_Book1_Song tra-750-tram nen 2" xfId="2895" xr:uid="{00000000-0005-0000-0000-000036040000}"/>
    <cellStyle name="_KT (2)_4_THANHLOC Khai Hung_Song tra-750-tram nen" xfId="835" xr:uid="{00000000-0005-0000-0000-000037040000}"/>
    <cellStyle name="_KT (2)_4_THANHLOC Khai Hung_Song tra-750-tram nen 2" xfId="2896" xr:uid="{00000000-0005-0000-0000-000038040000}"/>
    <cellStyle name="_KT (2)_4_THANHLOC Khai Hung_trinh bao gia" xfId="836" xr:uid="{00000000-0005-0000-0000-000039040000}"/>
    <cellStyle name="_KT (2)_4_THANHLOC Khai Hung_trinh bao gia_06 Thuy san Ninh Phuoc (luu 21-06)" xfId="837" xr:uid="{00000000-0005-0000-0000-00003A040000}"/>
    <cellStyle name="_KT (2)_4_THANHLOC Khai Hung_trinh bao gia_BAO TRO XH-DU TOAN" xfId="838" xr:uid="{00000000-0005-0000-0000-00003B040000}"/>
    <cellStyle name="_KT (2)_4_THANHLOC Khai Hung_trinh bao gia_BD" xfId="839" xr:uid="{00000000-0005-0000-0000-00003C040000}"/>
    <cellStyle name="_KT (2)_4_THANHLOC Khai Hung_trinh bao gia_DI DOI TRUONG LE QUY DON-HC HOAN CONG" xfId="840" xr:uid="{00000000-0005-0000-0000-00003D040000}"/>
    <cellStyle name="_KT (2)_4_THANHLOC Khai Hung_trinh bao gia_DUONG DOI TAN HOI-NEW 21-8-2006" xfId="841" xr:uid="{00000000-0005-0000-0000-00003E040000}"/>
    <cellStyle name="_KT (2)_4_THANHLOC Khai Hung_trinh bao gia_DUONG DOI THI XA-THU HOI-HC 2-3-07 xls" xfId="842" xr:uid="{00000000-0005-0000-0000-00003F040000}"/>
    <cellStyle name="_KT (2)_4_THANHLOC Khai Hung_trinh bao gia_DUONG DOI THI XA-THU HOI-HC 2-3-07 xls_Song tra-750-tram nen" xfId="843" xr:uid="{00000000-0005-0000-0000-000040040000}"/>
    <cellStyle name="_KT (2)_4_THANHLOC Khai Hung_trinh bao gia_DUONG DOI THI XA-THU HOI-HC 2-3-07 xls_Song tra-750-tram nen 2" xfId="2897" xr:uid="{00000000-0005-0000-0000-000041040000}"/>
    <cellStyle name="_KT (2)_4_THANHLOC Khai Hung_trinh bao gia_Gia cuoc van chuyen" xfId="844" xr:uid="{00000000-0005-0000-0000-000042040000}"/>
    <cellStyle name="_KT (2)_4_THANHLOC Khai Hung_trinh bao gia_Khu dan cu SO 2(TK BV-TC)-1" xfId="845" xr:uid="{00000000-0005-0000-0000-000043040000}"/>
    <cellStyle name="_KT (2)_4_THANHLOC Khai Hung_trinh bao gia_KHU DAN CU SUOI VANG" xfId="846" xr:uid="{00000000-0005-0000-0000-000044040000}"/>
    <cellStyle name="_KT (2)_4_THANHLOC Khai Hung_trinh bao gia_Khu TDC Phuoc Trung" xfId="847" xr:uid="{00000000-0005-0000-0000-000045040000}"/>
    <cellStyle name="_KT (2)_4_THANHLOC Khai Hung_trinh bao gia_Pham Van Thanh" xfId="848" xr:uid="{00000000-0005-0000-0000-000046040000}"/>
    <cellStyle name="_KT (2)_4_THANHLOC Khai Hung_trinh bao gia_Phuoc My Giai Doan 3-gia moi-14-10-uni" xfId="849" xr:uid="{00000000-0005-0000-0000-000047040000}"/>
    <cellStyle name="_KT (2)_4_THANHLOC Khai Hung_trinh bao gia_Song tra-750-tram nen" xfId="850" xr:uid="{00000000-0005-0000-0000-000048040000}"/>
    <cellStyle name="_KT (2)_4_THANHLOC Khai Hung_trinh bao gia_Song tra-750-tram nen 2" xfId="2898" xr:uid="{00000000-0005-0000-0000-000049040000}"/>
    <cellStyle name="_KT (2)_4_THANHLOC Khai Hung_trinh bao gia_Thuan Bac-sua lai" xfId="851" xr:uid="{00000000-0005-0000-0000-00004A040000}"/>
    <cellStyle name="_KT (2)_4_THANHLOC Khai Hung_trinh bao gia_VKim" xfId="852" xr:uid="{00000000-0005-0000-0000-00004B040000}"/>
    <cellStyle name="_KT (2)_4_THG" xfId="853" xr:uid="{00000000-0005-0000-0000-00004C040000}"/>
    <cellStyle name="_KT (2)_4_THG_Song tra-750-tram nen" xfId="854" xr:uid="{00000000-0005-0000-0000-00004D040000}"/>
    <cellStyle name="_KT (2)_4_THG_Song tra-750-tram nen 2" xfId="2899" xr:uid="{00000000-0005-0000-0000-00004E040000}"/>
    <cellStyle name="_KT (2)_4_TONG KE GO DEN-GO THAO" xfId="855" xr:uid="{00000000-0005-0000-0000-00004F040000}"/>
    <cellStyle name="_KT (2)_4_Tong ke SCL bo sung 2007" xfId="856" xr:uid="{00000000-0005-0000-0000-000050040000}"/>
    <cellStyle name="_KT (2)_4_Tong ke sua chua DZ dke (xoa tong gd 2)-NLam 2 -Vtu" xfId="857" xr:uid="{00000000-0005-0000-0000-000051040000}"/>
    <cellStyle name="_KT (2)_4_Tong ke sua chua DZ dke (xoa tong gd 2)-NLam-Vtu" xfId="858" xr:uid="{00000000-0005-0000-0000-000052040000}"/>
    <cellStyle name="_KT (2)_4_Tong ke sua chua DZ dke (xoa tong gd 2)-VLam 1" xfId="859" xr:uid="{00000000-0005-0000-0000-000053040000}"/>
    <cellStyle name="_KT (2)_4_Tong ke sua chua DZ dke (xoa tong gd 2)-VLam 2" xfId="860" xr:uid="{00000000-0005-0000-0000-000054040000}"/>
    <cellStyle name="_KT (2)_4_trinh bao gia" xfId="861" xr:uid="{00000000-0005-0000-0000-000055040000}"/>
    <cellStyle name="_KT (2)_4_trinh bao gia_06 Thuy san Ninh Phuoc (luu 21-06)" xfId="862" xr:uid="{00000000-0005-0000-0000-000056040000}"/>
    <cellStyle name="_KT (2)_4_trinh bao gia_BAO TRO XH-DU TOAN" xfId="863" xr:uid="{00000000-0005-0000-0000-000057040000}"/>
    <cellStyle name="_KT (2)_4_trinh bao gia_BD" xfId="864" xr:uid="{00000000-0005-0000-0000-000058040000}"/>
    <cellStyle name="_KT (2)_4_trinh bao gia_DI DOI TRUONG LE QUY DON-HC HOAN CONG" xfId="865" xr:uid="{00000000-0005-0000-0000-000059040000}"/>
    <cellStyle name="_KT (2)_4_trinh bao gia_DUONG DOI TAN HOI-NEW 21-8-2006" xfId="866" xr:uid="{00000000-0005-0000-0000-00005A040000}"/>
    <cellStyle name="_KT (2)_4_trinh bao gia_DUONG DOI THI XA-THU HOI-HC 2-3-07 xls" xfId="867" xr:uid="{00000000-0005-0000-0000-00005B040000}"/>
    <cellStyle name="_KT (2)_4_trinh bao gia_DUONG DOI THI XA-THU HOI-HC 2-3-07 xls_Song tra-750-tram nen" xfId="868" xr:uid="{00000000-0005-0000-0000-00005C040000}"/>
    <cellStyle name="_KT (2)_4_trinh bao gia_DUONG DOI THI XA-THU HOI-HC 2-3-07 xls_Song tra-750-tram nen 2" xfId="2900" xr:uid="{00000000-0005-0000-0000-00005D040000}"/>
    <cellStyle name="_KT (2)_4_trinh bao gia_Gia cuoc van chuyen" xfId="869" xr:uid="{00000000-0005-0000-0000-00005E040000}"/>
    <cellStyle name="_KT (2)_4_trinh bao gia_Khu dan cu SO 2(TK BV-TC)-1" xfId="870" xr:uid="{00000000-0005-0000-0000-00005F040000}"/>
    <cellStyle name="_KT (2)_4_trinh bao gia_KHU DAN CU SUOI VANG" xfId="871" xr:uid="{00000000-0005-0000-0000-000060040000}"/>
    <cellStyle name="_KT (2)_4_trinh bao gia_Khu TDC Phuoc Trung" xfId="872" xr:uid="{00000000-0005-0000-0000-000061040000}"/>
    <cellStyle name="_KT (2)_4_trinh bao gia_Pham Van Thanh" xfId="873" xr:uid="{00000000-0005-0000-0000-000062040000}"/>
    <cellStyle name="_KT (2)_4_trinh bao gia_Phuoc My Giai Doan 3-gia moi-14-10-uni" xfId="874" xr:uid="{00000000-0005-0000-0000-000063040000}"/>
    <cellStyle name="_KT (2)_4_trinh bao gia_Song tra-750-tram nen" xfId="875" xr:uid="{00000000-0005-0000-0000-000064040000}"/>
    <cellStyle name="_KT (2)_4_trinh bao gia_Song tra-750-tram nen 2" xfId="2901" xr:uid="{00000000-0005-0000-0000-000065040000}"/>
    <cellStyle name="_KT (2)_4_trinh bao gia_Thuan Bac-sua lai" xfId="876" xr:uid="{00000000-0005-0000-0000-000066040000}"/>
    <cellStyle name="_KT (2)_4_trinh bao gia_VKim" xfId="877" xr:uid="{00000000-0005-0000-0000-000067040000}"/>
    <cellStyle name="_KT (2)_4_Truong day nghe (20.1.06)" xfId="878" xr:uid="{00000000-0005-0000-0000-000068040000}"/>
    <cellStyle name="_KT (2)_4_Truong day nghe (20.1.06) 2" xfId="2902" xr:uid="{00000000-0005-0000-0000-000069040000}"/>
    <cellStyle name="_KT (2)_5" xfId="879" xr:uid="{00000000-0005-0000-0000-00006A040000}"/>
    <cellStyle name="_KT (2)_5_06 Muoi Tri Hai" xfId="880" xr:uid="{00000000-0005-0000-0000-00006B040000}"/>
    <cellStyle name="_KT (2)_5_06-scl-PHUOC HAI.HIEU CHINH-lan 2-09-12-05xls" xfId="881" xr:uid="{00000000-0005-0000-0000-00006C040000}"/>
    <cellStyle name="_KT (2)_5_07-PHUOC HA.XLS-1" xfId="882" xr:uid="{00000000-0005-0000-0000-00006D040000}"/>
    <cellStyle name="_KT (2)_5_07-PHUOC HA.XLS-1_Song tra-750-tram nen" xfId="883" xr:uid="{00000000-0005-0000-0000-00006E040000}"/>
    <cellStyle name="_KT (2)_5_07-PHUOC HA.XLS-1_Song tra-750-tram nen 2" xfId="2903" xr:uid="{00000000-0005-0000-0000-00006F040000}"/>
    <cellStyle name="_KT (2)_5_07-scl ninh hai 31-05" xfId="3860" xr:uid="{00000000-0005-0000-0000-000070040000}"/>
    <cellStyle name="_KT (2)_5_6.BANG CHI TIET" xfId="884" xr:uid="{00000000-0005-0000-0000-000071040000}"/>
    <cellStyle name="_KT (2)_5_BANG SO SANH NHAN CONG SC MBA DUYET" xfId="885" xr:uid="{00000000-0005-0000-0000-000072040000}"/>
    <cellStyle name="_KT (2)_5_BAO CAO KLCT PT2000" xfId="886" xr:uid="{00000000-0005-0000-0000-000073040000}"/>
    <cellStyle name="_KT (2)_5_BAO CAO KLCT PT2000_Song tra-750-tram nen" xfId="887" xr:uid="{00000000-0005-0000-0000-000074040000}"/>
    <cellStyle name="_KT (2)_5_BAO CAO KLCT PT2000_Song tra-750-tram nen 2" xfId="2904" xr:uid="{00000000-0005-0000-0000-000075040000}"/>
    <cellStyle name="_KT (2)_5_BAO CAO PT2000" xfId="888" xr:uid="{00000000-0005-0000-0000-000076040000}"/>
    <cellStyle name="_KT (2)_5_BAO CAO PT2000_Book1" xfId="889" xr:uid="{00000000-0005-0000-0000-000077040000}"/>
    <cellStyle name="_KT (2)_5_BAO CAO PT2000_Book1_Song tra-750-tram nen" xfId="890" xr:uid="{00000000-0005-0000-0000-000078040000}"/>
    <cellStyle name="_KT (2)_5_BAO CAO PT2000_Book1_Song tra-750-tram nen 2" xfId="2905" xr:uid="{00000000-0005-0000-0000-000079040000}"/>
    <cellStyle name="_KT (2)_5_BAO CAO PT2000_DT Ngoc Ha" xfId="891" xr:uid="{00000000-0005-0000-0000-00007A040000}"/>
    <cellStyle name="_KT (2)_5_BAO CAO PT2000_DT Ngoc Ha_Song tra-750-tram nen" xfId="892" xr:uid="{00000000-0005-0000-0000-00007B040000}"/>
    <cellStyle name="_KT (2)_5_BAO CAO PT2000_DT Ngoc Ha_Song tra-750-tram nen 2" xfId="2906" xr:uid="{00000000-0005-0000-0000-00007C040000}"/>
    <cellStyle name="_KT (2)_5_BAO CAO PT2000_MUOI TINH PHUOC MINH" xfId="893" xr:uid="{00000000-0005-0000-0000-00007D040000}"/>
    <cellStyle name="_KT (2)_5_BAO CAO PT2000_MUOI TINH PHUOC MINH_Song tra-750-tram nen" xfId="894" xr:uid="{00000000-0005-0000-0000-00007E040000}"/>
    <cellStyle name="_KT (2)_5_BAO CAO PT2000_MUOI TINH PHUOC MINH_Song tra-750-tram nen 2" xfId="2907" xr:uid="{00000000-0005-0000-0000-00007F040000}"/>
    <cellStyle name="_KT (2)_5_BAO CAO PT2000_Song tra-750-tram nen" xfId="895" xr:uid="{00000000-0005-0000-0000-000080040000}"/>
    <cellStyle name="_KT (2)_5_BAO CAO PT2000_Song tra-750-tram nen 2" xfId="2908" xr:uid="{00000000-0005-0000-0000-000081040000}"/>
    <cellStyle name="_KT (2)_5_BAO CAO PT2000_TDC Tan My" xfId="896" xr:uid="{00000000-0005-0000-0000-000082040000}"/>
    <cellStyle name="_KT (2)_5_BAO CAO PT2000_TDC Tan My_Song tra-750-tram nen" xfId="897" xr:uid="{00000000-0005-0000-0000-000083040000}"/>
    <cellStyle name="_KT (2)_5_BAO CAO PT2000_TDC Tan My_Song tra-750-tram nen 2" xfId="2909" xr:uid="{00000000-0005-0000-0000-000084040000}"/>
    <cellStyle name="_KT (2)_5_BAO CAO PT2000_trinh bao gia" xfId="898" xr:uid="{00000000-0005-0000-0000-000085040000}"/>
    <cellStyle name="_KT (2)_5_BAO CAO PT2000_trinh bao gia_06 Thuy san Ninh Phuoc (luu 21-06)" xfId="899" xr:uid="{00000000-0005-0000-0000-000086040000}"/>
    <cellStyle name="_KT (2)_5_BAO CAO PT2000_trinh bao gia_BAO TRO XH-DU TOAN" xfId="900" xr:uid="{00000000-0005-0000-0000-000087040000}"/>
    <cellStyle name="_KT (2)_5_BAO CAO PT2000_trinh bao gia_BD" xfId="901" xr:uid="{00000000-0005-0000-0000-000088040000}"/>
    <cellStyle name="_KT (2)_5_BAO CAO PT2000_trinh bao gia_DI DOI TRUONG LE QUY DON-HC HOAN CONG" xfId="902" xr:uid="{00000000-0005-0000-0000-000089040000}"/>
    <cellStyle name="_KT (2)_5_BAO CAO PT2000_trinh bao gia_DUONG DOI TAN HOI-NEW 21-8-2006" xfId="903" xr:uid="{00000000-0005-0000-0000-00008A040000}"/>
    <cellStyle name="_KT (2)_5_BAO CAO PT2000_trinh bao gia_DUONG DOI THI XA-THU HOI-HC 2-3-07 xls" xfId="904" xr:uid="{00000000-0005-0000-0000-00008B040000}"/>
    <cellStyle name="_KT (2)_5_BAO CAO PT2000_trinh bao gia_DUONG DOI THI XA-THU HOI-HC 2-3-07 xls_Song tra-750-tram nen" xfId="905" xr:uid="{00000000-0005-0000-0000-00008C040000}"/>
    <cellStyle name="_KT (2)_5_BAO CAO PT2000_trinh bao gia_DUONG DOI THI XA-THU HOI-HC 2-3-07 xls_Song tra-750-tram nen 2" xfId="2910" xr:uid="{00000000-0005-0000-0000-00008D040000}"/>
    <cellStyle name="_KT (2)_5_BAO CAO PT2000_trinh bao gia_Gia cuoc van chuyen" xfId="906" xr:uid="{00000000-0005-0000-0000-00008E040000}"/>
    <cellStyle name="_KT (2)_5_BAO CAO PT2000_trinh bao gia_Khu dan cu SO 2(TK BV-TC)-1" xfId="907" xr:uid="{00000000-0005-0000-0000-00008F040000}"/>
    <cellStyle name="_KT (2)_5_BAO CAO PT2000_trinh bao gia_KHU DAN CU SUOI VANG" xfId="908" xr:uid="{00000000-0005-0000-0000-000090040000}"/>
    <cellStyle name="_KT (2)_5_BAO CAO PT2000_trinh bao gia_Khu TDC Phuoc Trung" xfId="909" xr:uid="{00000000-0005-0000-0000-000091040000}"/>
    <cellStyle name="_KT (2)_5_BAO CAO PT2000_trinh bao gia_Pham Van Thanh" xfId="910" xr:uid="{00000000-0005-0000-0000-000092040000}"/>
    <cellStyle name="_KT (2)_5_BAO CAO PT2000_trinh bao gia_Phuoc My Giai Doan 3-gia moi-14-10-uni" xfId="911" xr:uid="{00000000-0005-0000-0000-000093040000}"/>
    <cellStyle name="_KT (2)_5_BAO CAO PT2000_trinh bao gia_Song tra-750-tram nen" xfId="912" xr:uid="{00000000-0005-0000-0000-000094040000}"/>
    <cellStyle name="_KT (2)_5_BAO CAO PT2000_trinh bao gia_Song tra-750-tram nen 2" xfId="2911" xr:uid="{00000000-0005-0000-0000-000095040000}"/>
    <cellStyle name="_KT (2)_5_BAO CAO PT2000_trinh bao gia_Thuan Bac-sua lai" xfId="913" xr:uid="{00000000-0005-0000-0000-000096040000}"/>
    <cellStyle name="_KT (2)_5_BAO CAO PT2000_trinh bao gia_VKim" xfId="914" xr:uid="{00000000-0005-0000-0000-000097040000}"/>
    <cellStyle name="_KT (2)_5_BAO CAO PT2000_Truong day nghe (20.1.06)" xfId="915" xr:uid="{00000000-0005-0000-0000-000098040000}"/>
    <cellStyle name="_KT (2)_5_BAO CAO PT2000_Truong day nghe (20.1.06) 2" xfId="2912" xr:uid="{00000000-0005-0000-0000-000099040000}"/>
    <cellStyle name="_KT (2)_5_Bao cao XDCB 2001 - T11 KH dieu chinh 20-11-THAI" xfId="916" xr:uid="{00000000-0005-0000-0000-00009A040000}"/>
    <cellStyle name="_KT (2)_5_Bao cao XDCB 2001 - T11 KH dieu chinh 20-11-THAI_Book1" xfId="917" xr:uid="{00000000-0005-0000-0000-00009B040000}"/>
    <cellStyle name="_KT (2)_5_Bao cao XDCB 2001 - T11 KH dieu chinh 20-11-THAI_Book1_Song tra-750-tram nen" xfId="918" xr:uid="{00000000-0005-0000-0000-00009C040000}"/>
    <cellStyle name="_KT (2)_5_Bao cao XDCB 2001 - T11 KH dieu chinh 20-11-THAI_Book1_Song tra-750-tram nen 2" xfId="2913" xr:uid="{00000000-0005-0000-0000-00009D040000}"/>
    <cellStyle name="_KT (2)_5_Bao cao XDCB 2001 - T11 KH dieu chinh 20-11-THAI_DT Ngoc Ha" xfId="919" xr:uid="{00000000-0005-0000-0000-00009E040000}"/>
    <cellStyle name="_KT (2)_5_Bao cao XDCB 2001 - T11 KH dieu chinh 20-11-THAI_DT Ngoc Ha_Song tra-750-tram nen" xfId="920" xr:uid="{00000000-0005-0000-0000-00009F040000}"/>
    <cellStyle name="_KT (2)_5_Bao cao XDCB 2001 - T11 KH dieu chinh 20-11-THAI_DT Ngoc Ha_Song tra-750-tram nen 2" xfId="2914" xr:uid="{00000000-0005-0000-0000-0000A0040000}"/>
    <cellStyle name="_KT (2)_5_Bao cao XDCB 2001 - T11 KH dieu chinh 20-11-THAI_MUOI TINH PHUOC MINH" xfId="921" xr:uid="{00000000-0005-0000-0000-0000A1040000}"/>
    <cellStyle name="_KT (2)_5_Bao cao XDCB 2001 - T11 KH dieu chinh 20-11-THAI_MUOI TINH PHUOC MINH_Song tra-750-tram nen" xfId="922" xr:uid="{00000000-0005-0000-0000-0000A2040000}"/>
    <cellStyle name="_KT (2)_5_Bao cao XDCB 2001 - T11 KH dieu chinh 20-11-THAI_MUOI TINH PHUOC MINH_Song tra-750-tram nen 2" xfId="2915" xr:uid="{00000000-0005-0000-0000-0000A3040000}"/>
    <cellStyle name="_KT (2)_5_Bao cao XDCB 2001 - T11 KH dieu chinh 20-11-THAI_Song tra-750-tram nen" xfId="923" xr:uid="{00000000-0005-0000-0000-0000A4040000}"/>
    <cellStyle name="_KT (2)_5_Bao cao XDCB 2001 - T11 KH dieu chinh 20-11-THAI_Song tra-750-tram nen 2" xfId="2916" xr:uid="{00000000-0005-0000-0000-0000A5040000}"/>
    <cellStyle name="_KT (2)_5_Bao cao XDCB 2001 - T11 KH dieu chinh 20-11-THAI_TDC Tan My" xfId="924" xr:uid="{00000000-0005-0000-0000-0000A6040000}"/>
    <cellStyle name="_KT (2)_5_Bao cao XDCB 2001 - T11 KH dieu chinh 20-11-THAI_TDC Tan My_Song tra-750-tram nen" xfId="925" xr:uid="{00000000-0005-0000-0000-0000A7040000}"/>
    <cellStyle name="_KT (2)_5_Bao cao XDCB 2001 - T11 KH dieu chinh 20-11-THAI_TDC Tan My_Song tra-750-tram nen 2" xfId="2917" xr:uid="{00000000-0005-0000-0000-0000A8040000}"/>
    <cellStyle name="_KT (2)_5_Bao cao XDCB 2001 - T11 KH dieu chinh 20-11-THAI_trinh bao gia" xfId="926" xr:uid="{00000000-0005-0000-0000-0000A9040000}"/>
    <cellStyle name="_KT (2)_5_Bao cao XDCB 2001 - T11 KH dieu chinh 20-11-THAI_trinh bao gia_06 Thuy san Ninh Phuoc (luu 21-06)" xfId="927" xr:uid="{00000000-0005-0000-0000-0000AA040000}"/>
    <cellStyle name="_KT (2)_5_Bao cao XDCB 2001 - T11 KH dieu chinh 20-11-THAI_trinh bao gia_BAO TRO XH-DU TOAN" xfId="928" xr:uid="{00000000-0005-0000-0000-0000AB040000}"/>
    <cellStyle name="_KT (2)_5_Bao cao XDCB 2001 - T11 KH dieu chinh 20-11-THAI_trinh bao gia_BD" xfId="929" xr:uid="{00000000-0005-0000-0000-0000AC040000}"/>
    <cellStyle name="_KT (2)_5_Bao cao XDCB 2001 - T11 KH dieu chinh 20-11-THAI_trinh bao gia_DI DOI TRUONG LE QUY DON-HC HOAN CONG" xfId="930" xr:uid="{00000000-0005-0000-0000-0000AD040000}"/>
    <cellStyle name="_KT (2)_5_Bao cao XDCB 2001 - T11 KH dieu chinh 20-11-THAI_trinh bao gia_DUONG DOI TAN HOI-NEW 21-8-2006" xfId="931" xr:uid="{00000000-0005-0000-0000-0000AE040000}"/>
    <cellStyle name="_KT (2)_5_Bao cao XDCB 2001 - T11 KH dieu chinh 20-11-THAI_trinh bao gia_DUONG DOI THI XA-THU HOI-HC 2-3-07 xls" xfId="932" xr:uid="{00000000-0005-0000-0000-0000AF040000}"/>
    <cellStyle name="_KT (2)_5_Bao cao XDCB 2001 - T11 KH dieu chinh 20-11-THAI_trinh bao gia_DUONG DOI THI XA-THU HOI-HC 2-3-07 xls_Song tra-750-tram nen" xfId="933" xr:uid="{00000000-0005-0000-0000-0000B0040000}"/>
    <cellStyle name="_KT (2)_5_Bao cao XDCB 2001 - T11 KH dieu chinh 20-11-THAI_trinh bao gia_DUONG DOI THI XA-THU HOI-HC 2-3-07 xls_Song tra-750-tram nen 2" xfId="2918" xr:uid="{00000000-0005-0000-0000-0000B1040000}"/>
    <cellStyle name="_KT (2)_5_Bao cao XDCB 2001 - T11 KH dieu chinh 20-11-THAI_trinh bao gia_Gia cuoc van chuyen" xfId="934" xr:uid="{00000000-0005-0000-0000-0000B2040000}"/>
    <cellStyle name="_KT (2)_5_Bao cao XDCB 2001 - T11 KH dieu chinh 20-11-THAI_trinh bao gia_Khu dan cu SO 2(TK BV-TC)-1" xfId="935" xr:uid="{00000000-0005-0000-0000-0000B3040000}"/>
    <cellStyle name="_KT (2)_5_Bao cao XDCB 2001 - T11 KH dieu chinh 20-11-THAI_trinh bao gia_KHU DAN CU SUOI VANG" xfId="936" xr:uid="{00000000-0005-0000-0000-0000B4040000}"/>
    <cellStyle name="_KT (2)_5_Bao cao XDCB 2001 - T11 KH dieu chinh 20-11-THAI_trinh bao gia_Khu TDC Phuoc Trung" xfId="937" xr:uid="{00000000-0005-0000-0000-0000B5040000}"/>
    <cellStyle name="_KT (2)_5_Bao cao XDCB 2001 - T11 KH dieu chinh 20-11-THAI_trinh bao gia_Pham Van Thanh" xfId="938" xr:uid="{00000000-0005-0000-0000-0000B6040000}"/>
    <cellStyle name="_KT (2)_5_Bao cao XDCB 2001 - T11 KH dieu chinh 20-11-THAI_trinh bao gia_Phuoc My Giai Doan 3-gia moi-14-10-uni" xfId="939" xr:uid="{00000000-0005-0000-0000-0000B7040000}"/>
    <cellStyle name="_KT (2)_5_Bao cao XDCB 2001 - T11 KH dieu chinh 20-11-THAI_trinh bao gia_Song tra-750-tram nen" xfId="940" xr:uid="{00000000-0005-0000-0000-0000B8040000}"/>
    <cellStyle name="_KT (2)_5_Bao cao XDCB 2001 - T11 KH dieu chinh 20-11-THAI_trinh bao gia_Song tra-750-tram nen 2" xfId="2919" xr:uid="{00000000-0005-0000-0000-0000B9040000}"/>
    <cellStyle name="_KT (2)_5_Bao cao XDCB 2001 - T11 KH dieu chinh 20-11-THAI_trinh bao gia_Thuan Bac-sua lai" xfId="941" xr:uid="{00000000-0005-0000-0000-0000BA040000}"/>
    <cellStyle name="_KT (2)_5_Bao cao XDCB 2001 - T11 KH dieu chinh 20-11-THAI_trinh bao gia_VKim" xfId="942" xr:uid="{00000000-0005-0000-0000-0000BB040000}"/>
    <cellStyle name="_KT (2)_5_Bao cao XDCB 2001 - T11 KH dieu chinh 20-11-THAI_Truong day nghe (20.1.06)" xfId="943" xr:uid="{00000000-0005-0000-0000-0000BC040000}"/>
    <cellStyle name="_KT (2)_5_Bao cao XDCB 2001 - T11 KH dieu chinh 20-11-THAI_Truong day nghe (20.1.06) 2" xfId="2920" xr:uid="{00000000-0005-0000-0000-0000BD040000}"/>
    <cellStyle name="_KT (2)_5_Book1" xfId="944" xr:uid="{00000000-0005-0000-0000-0000BE040000}"/>
    <cellStyle name="_KT (2)_5_Book1_06 Muoi Tri Hai" xfId="945" xr:uid="{00000000-0005-0000-0000-0000BF040000}"/>
    <cellStyle name="_KT (2)_5_Book1_07-PHUOC HA.XLS-1" xfId="946" xr:uid="{00000000-0005-0000-0000-0000C0040000}"/>
    <cellStyle name="_KT (2)_5_Book1_07-PHUOC HA.XLS-1_Song tra-750-tram nen" xfId="947" xr:uid="{00000000-0005-0000-0000-0000C1040000}"/>
    <cellStyle name="_KT (2)_5_Book1_07-PHUOC HA.XLS-1_Song tra-750-tram nen 2" xfId="2921" xr:uid="{00000000-0005-0000-0000-0000C2040000}"/>
    <cellStyle name="_KT (2)_5_Book1_1" xfId="948" xr:uid="{00000000-0005-0000-0000-0000C3040000}"/>
    <cellStyle name="_KT (2)_5_Book1_1_Book1" xfId="949" xr:uid="{00000000-0005-0000-0000-0000C4040000}"/>
    <cellStyle name="_KT (2)_5_Book1_1_Book1_Song tra-750-tram nen" xfId="950" xr:uid="{00000000-0005-0000-0000-0000C5040000}"/>
    <cellStyle name="_KT (2)_5_Book1_1_Book1_Song tra-750-tram nen 2" xfId="2922" xr:uid="{00000000-0005-0000-0000-0000C6040000}"/>
    <cellStyle name="_KT (2)_5_Book1_1_Song tra-750-tram nen" xfId="951" xr:uid="{00000000-0005-0000-0000-0000C7040000}"/>
    <cellStyle name="_KT (2)_5_Book1_1_Song tra-750-tram nen 2" xfId="2923" xr:uid="{00000000-0005-0000-0000-0000C8040000}"/>
    <cellStyle name="_KT (2)_5_Book1_2" xfId="952" xr:uid="{00000000-0005-0000-0000-0000C9040000}"/>
    <cellStyle name="_KT (2)_5_Book1_2_06 Thuy san Ninh Phuoc (luu 21-06)" xfId="953" xr:uid="{00000000-0005-0000-0000-0000CA040000}"/>
    <cellStyle name="_KT (2)_5_Book1_2_BAO TRO XH-DU TOAN" xfId="954" xr:uid="{00000000-0005-0000-0000-0000CB040000}"/>
    <cellStyle name="_KT (2)_5_Book1_2_BD" xfId="955" xr:uid="{00000000-0005-0000-0000-0000CC040000}"/>
    <cellStyle name="_KT (2)_5_Book1_2_DI DOI TRUONG LE QUY DON-HC HOAN CONG" xfId="956" xr:uid="{00000000-0005-0000-0000-0000CD040000}"/>
    <cellStyle name="_KT (2)_5_Book1_2_DT Ngoc Ha" xfId="957" xr:uid="{00000000-0005-0000-0000-0000CE040000}"/>
    <cellStyle name="_KT (2)_5_Book1_2_DT Ngoc Ha_Song tra-750-tram nen" xfId="958" xr:uid="{00000000-0005-0000-0000-0000CF040000}"/>
    <cellStyle name="_KT (2)_5_Book1_2_DUONG DOI TAN HOI-NEW 21-8-2006" xfId="959" xr:uid="{00000000-0005-0000-0000-0000D0040000}"/>
    <cellStyle name="_KT (2)_5_Book1_2_DUONG DOI THI XA-THU HOI-HC 2-3-07 xls" xfId="960" xr:uid="{00000000-0005-0000-0000-0000D1040000}"/>
    <cellStyle name="_KT (2)_5_Book1_2_DUONG DOI THI XA-THU HOI-HC 2-3-07 xls_Song tra-750-tram nen" xfId="961" xr:uid="{00000000-0005-0000-0000-0000D2040000}"/>
    <cellStyle name="_KT (2)_5_Book1_2_Gia cuoc van chuyen" xfId="962" xr:uid="{00000000-0005-0000-0000-0000D3040000}"/>
    <cellStyle name="_KT (2)_5_Book1_2_Khu dan cu SO 2(TK BV-TC)-1" xfId="963" xr:uid="{00000000-0005-0000-0000-0000D4040000}"/>
    <cellStyle name="_KT (2)_5_Book1_2_KHU DAN CU SUOI VANG" xfId="964" xr:uid="{00000000-0005-0000-0000-0000D5040000}"/>
    <cellStyle name="_KT (2)_5_Book1_2_Khu TDC Phuoc Trung" xfId="965" xr:uid="{00000000-0005-0000-0000-0000D6040000}"/>
    <cellStyle name="_KT (2)_5_Book1_2_MUOI TINH PHUOC MINH" xfId="966" xr:uid="{00000000-0005-0000-0000-0000D7040000}"/>
    <cellStyle name="_KT (2)_5_Book1_2_MUOI TINH PHUOC MINH_Song tra-750-tram nen" xfId="967" xr:uid="{00000000-0005-0000-0000-0000D8040000}"/>
    <cellStyle name="_KT (2)_5_Book1_2_Pham Van Thanh" xfId="968" xr:uid="{00000000-0005-0000-0000-0000D9040000}"/>
    <cellStyle name="_KT (2)_5_Book1_2_Phuoc My Giai Doan 3-gia moi-14-10-uni" xfId="969" xr:uid="{00000000-0005-0000-0000-0000DA040000}"/>
    <cellStyle name="_KT (2)_5_Book1_2_Song tra-750-tram nen" xfId="970" xr:uid="{00000000-0005-0000-0000-0000DB040000}"/>
    <cellStyle name="_KT (2)_5_Book1_2_TDC Tan My" xfId="971" xr:uid="{00000000-0005-0000-0000-0000DC040000}"/>
    <cellStyle name="_KT (2)_5_Book1_2_TDC Tan My_Song tra-750-tram nen" xfId="972" xr:uid="{00000000-0005-0000-0000-0000DD040000}"/>
    <cellStyle name="_KT (2)_5_Book1_2_Thuan Bac-sua lai" xfId="973" xr:uid="{00000000-0005-0000-0000-0000DE040000}"/>
    <cellStyle name="_KT (2)_5_Book1_2_Truong day nghe (20.1.06)" xfId="974" xr:uid="{00000000-0005-0000-0000-0000DF040000}"/>
    <cellStyle name="_KT (2)_5_Book1_2_VKim" xfId="975" xr:uid="{00000000-0005-0000-0000-0000E0040000}"/>
    <cellStyle name="_KT (2)_5_Book1_3" xfId="976" xr:uid="{00000000-0005-0000-0000-0000E1040000}"/>
    <cellStyle name="_KT (2)_5_Book1_3_Song tra-750-tram nen" xfId="977" xr:uid="{00000000-0005-0000-0000-0000E2040000}"/>
    <cellStyle name="_KT (2)_5_Book1_3_Song tra-750-tram nen 2" xfId="2924" xr:uid="{00000000-0005-0000-0000-0000E3040000}"/>
    <cellStyle name="_KT (2)_5_Book1_6.BANG CHI TIET" xfId="978" xr:uid="{00000000-0005-0000-0000-0000E4040000}"/>
    <cellStyle name="_KT (2)_5_Book1_BC-QT-WB-dthao" xfId="979" xr:uid="{00000000-0005-0000-0000-0000E5040000}"/>
    <cellStyle name="_KT (2)_5_Book1_BC-QT-WB-dthao_Song tra-750-tram nen" xfId="980" xr:uid="{00000000-0005-0000-0000-0000E6040000}"/>
    <cellStyle name="_KT (2)_5_Book1_BC-QT-WB-dthao_Song tra-750-tram nen 2" xfId="2925" xr:uid="{00000000-0005-0000-0000-0000E7040000}"/>
    <cellStyle name="_KT (2)_5_Book1_Book1" xfId="981" xr:uid="{00000000-0005-0000-0000-0000E8040000}"/>
    <cellStyle name="_KT (2)_5_Book1_Book1_Song tra-750-tram nen" xfId="982" xr:uid="{00000000-0005-0000-0000-0000E9040000}"/>
    <cellStyle name="_KT (2)_5_Book1_Book1_Song tra-750-tram nen 2" xfId="2926" xr:uid="{00000000-0005-0000-0000-0000EA040000}"/>
    <cellStyle name="_KT (2)_5_Book1_DT Ngoc Ha" xfId="983" xr:uid="{00000000-0005-0000-0000-0000EB040000}"/>
    <cellStyle name="_KT (2)_5_Book1_DT Ngoc Ha_Song tra-750-tram nen" xfId="984" xr:uid="{00000000-0005-0000-0000-0000EC040000}"/>
    <cellStyle name="_KT (2)_5_Book1_DT Ngoc Ha_Song tra-750-tram nen 2" xfId="2927" xr:uid="{00000000-0005-0000-0000-0000ED040000}"/>
    <cellStyle name="_KT (2)_5_Book1_Dutoan NC 22 khu vuc san bay  09-2006moi" xfId="3861" xr:uid="{00000000-0005-0000-0000-0000EE040000}"/>
    <cellStyle name="_KT (2)_5_Book1_KH2-06 PT LHT Binh Thanh 2003" xfId="985" xr:uid="{00000000-0005-0000-0000-0000EF040000}"/>
    <cellStyle name="_KT (2)_5_Book1_KH2-06 PT LHT Binh Thanh 2003_Song tra-750-tram nen" xfId="986" xr:uid="{00000000-0005-0000-0000-0000F0040000}"/>
    <cellStyle name="_KT (2)_5_Book1_KH2-06 PT LHT Binh Thanh 2003_Song tra-750-tram nen 2" xfId="2928" xr:uid="{00000000-0005-0000-0000-0000F1040000}"/>
    <cellStyle name="_KT (2)_5_Book1_MUOI TINH PHUOC MINH" xfId="987" xr:uid="{00000000-0005-0000-0000-0000F2040000}"/>
    <cellStyle name="_KT (2)_5_Book1_MUOI TINH PHUOC MINH_Song tra-750-tram nen" xfId="988" xr:uid="{00000000-0005-0000-0000-0000F3040000}"/>
    <cellStyle name="_KT (2)_5_Book1_MUOI TINH PHUOC MINH_Song tra-750-tram nen 2" xfId="2929" xr:uid="{00000000-0005-0000-0000-0000F4040000}"/>
    <cellStyle name="_KT (2)_5_Book1_Song tra-750-tram nen" xfId="989" xr:uid="{00000000-0005-0000-0000-0000F5040000}"/>
    <cellStyle name="_KT (2)_5_Book1_Song tra-750-tram nen 2" xfId="2930" xr:uid="{00000000-0005-0000-0000-0000F6040000}"/>
    <cellStyle name="_KT (2)_5_Book1_TDC Tan My" xfId="990" xr:uid="{00000000-0005-0000-0000-0000F7040000}"/>
    <cellStyle name="_KT (2)_5_Book1_TDC Tan My_Song tra-750-tram nen" xfId="991" xr:uid="{00000000-0005-0000-0000-0000F8040000}"/>
    <cellStyle name="_KT (2)_5_Book1_TDC Tan My_Song tra-750-tram nen 2" xfId="2931" xr:uid="{00000000-0005-0000-0000-0000F9040000}"/>
    <cellStyle name="_KT (2)_5_Book1_THANHLOC Khai Hung" xfId="992" xr:uid="{00000000-0005-0000-0000-0000FA040000}"/>
    <cellStyle name="_KT (2)_5_Book1_THANHLOC Khai Hung_Song tra-750-tram nen" xfId="993" xr:uid="{00000000-0005-0000-0000-0000FB040000}"/>
    <cellStyle name="_KT (2)_5_Book1_THANHLOC Khai Hung_Song tra-750-tram nen 2" xfId="2932" xr:uid="{00000000-0005-0000-0000-0000FC040000}"/>
    <cellStyle name="_KT (2)_5_Book1_Truong day nghe (20.1.06)" xfId="994" xr:uid="{00000000-0005-0000-0000-0000FD040000}"/>
    <cellStyle name="_KT (2)_5_Book1_Truong day nghe (20.1.06) 2" xfId="2933" xr:uid="{00000000-0005-0000-0000-0000FE040000}"/>
    <cellStyle name="_KT (2)_5_DAU NOI PL-CL TAI PHU LAMHC" xfId="995" xr:uid="{00000000-0005-0000-0000-0000FF040000}"/>
    <cellStyle name="_KT (2)_5_DAU NOI PL-CL TAI PHU LAMHC_Song tra-750-tram nen" xfId="996" xr:uid="{00000000-0005-0000-0000-000000050000}"/>
    <cellStyle name="_KT (2)_5_DAU NOI PL-CL TAI PHU LAMHC_Song tra-750-tram nen 2" xfId="2934" xr:uid="{00000000-0005-0000-0000-000001050000}"/>
    <cellStyle name="_KT (2)_5_Dien Ke thon Phuoc Nhon 2" xfId="997" xr:uid="{00000000-0005-0000-0000-000002050000}"/>
    <cellStyle name="_KT (2)_5_DT Ngoc Ha" xfId="998" xr:uid="{00000000-0005-0000-0000-000003050000}"/>
    <cellStyle name="_KT (2)_5_DT Ngoc Ha_Song tra-750-tram nen" xfId="999" xr:uid="{00000000-0005-0000-0000-000004050000}"/>
    <cellStyle name="_KT (2)_5_DT Ngoc Ha_Song tra-750-tram nen 2" xfId="2935" xr:uid="{00000000-0005-0000-0000-000005050000}"/>
    <cellStyle name="_KT (2)_5_DTCDT MR.2N110.HOCMON.TDTOAN.CCUNG" xfId="1000" xr:uid="{00000000-0005-0000-0000-000006050000}"/>
    <cellStyle name="_KT (2)_5_DTCDT MR.2N110.HOCMON.TDTOAN.CCUNG_Song tra-750-tram nen" xfId="1001" xr:uid="{00000000-0005-0000-0000-000007050000}"/>
    <cellStyle name="_KT (2)_5_DTCDT MR.2N110.HOCMON.TDTOAN.CCUNG_Song tra-750-tram nen 2" xfId="2936" xr:uid="{00000000-0005-0000-0000-000008050000}"/>
    <cellStyle name="_KT (2)_5_Du toan thay ong ep va da composite sua" xfId="3862" xr:uid="{00000000-0005-0000-0000-000009050000}"/>
    <cellStyle name="_KT (2)_5_Du toan tram GDEN2 giai doan 2" xfId="1002" xr:uid="{00000000-0005-0000-0000-00000A050000}"/>
    <cellStyle name="_KT (2)_5_Du toan tram PHUOC NHON 2 giai doan 2" xfId="1003" xr:uid="{00000000-0005-0000-0000-00000B050000}"/>
    <cellStyle name="_KT (2)_5_Dutoan NC 22 khu vuc san bay  09-2006moi" xfId="3863" xr:uid="{00000000-0005-0000-0000-00000C050000}"/>
    <cellStyle name="_KT (2)_5_DUTOAN_DAMDOI_PD1" xfId="1004" xr:uid="{00000000-0005-0000-0000-00000D050000}"/>
    <cellStyle name="_KT (2)_5_DUTOAN_DAMDOI_PD1_Song tra-750-tram nen" xfId="1005" xr:uid="{00000000-0005-0000-0000-00000E050000}"/>
    <cellStyle name="_KT (2)_5_DUTOAN_DAMDOI_PD1_Song tra-750-tram nen 2" xfId="2937" xr:uid="{00000000-0005-0000-0000-00000F050000}"/>
    <cellStyle name="_KT (2)_5_KH2-06 PT LHT Binh Thanh 2003" xfId="1006" xr:uid="{00000000-0005-0000-0000-000010050000}"/>
    <cellStyle name="_KT (2)_5_KH2-06 PT LHT Binh Thanh 2003_Book1" xfId="1007" xr:uid="{00000000-0005-0000-0000-000011050000}"/>
    <cellStyle name="_KT (2)_5_KH2-06 PT LHT Binh Thanh 2003_Book1_Song tra-750-tram nen" xfId="1008" xr:uid="{00000000-0005-0000-0000-000012050000}"/>
    <cellStyle name="_KT (2)_5_KH2-06 PT LHT Binh Thanh 2003_Book1_Song tra-750-tram nen 2" xfId="2938" xr:uid="{00000000-0005-0000-0000-000013050000}"/>
    <cellStyle name="_KT (2)_5_KH2-06 PT LHT Binh Thanh 2003_Song tra-750-tram nen" xfId="1009" xr:uid="{00000000-0005-0000-0000-000014050000}"/>
    <cellStyle name="_KT (2)_5_KH2-06 PT LHT Binh Thanh 2003_Song tra-750-tram nen 2" xfId="2939" xr:uid="{00000000-0005-0000-0000-000015050000}"/>
    <cellStyle name="_KT (2)_5_KH2-06 PT LHT Binh Thanh 2003_trinh bao gia" xfId="1010" xr:uid="{00000000-0005-0000-0000-000016050000}"/>
    <cellStyle name="_KT (2)_5_KH2-06 PT LHT Binh Thanh 2003_trinh bao gia_06 Thuy san Ninh Phuoc (luu 21-06)" xfId="1011" xr:uid="{00000000-0005-0000-0000-000017050000}"/>
    <cellStyle name="_KT (2)_5_KH2-06 PT LHT Binh Thanh 2003_trinh bao gia_BAO TRO XH-DU TOAN" xfId="1012" xr:uid="{00000000-0005-0000-0000-000018050000}"/>
    <cellStyle name="_KT (2)_5_KH2-06 PT LHT Binh Thanh 2003_trinh bao gia_BD" xfId="1013" xr:uid="{00000000-0005-0000-0000-000019050000}"/>
    <cellStyle name="_KT (2)_5_KH2-06 PT LHT Binh Thanh 2003_trinh bao gia_DI DOI TRUONG LE QUY DON-HC HOAN CONG" xfId="1014" xr:uid="{00000000-0005-0000-0000-00001A050000}"/>
    <cellStyle name="_KT (2)_5_KH2-06 PT LHT Binh Thanh 2003_trinh bao gia_DUONG DOI TAN HOI-NEW 21-8-2006" xfId="1015" xr:uid="{00000000-0005-0000-0000-00001B050000}"/>
    <cellStyle name="_KT (2)_5_KH2-06 PT LHT Binh Thanh 2003_trinh bao gia_DUONG DOI THI XA-THU HOI-HC 2-3-07 xls" xfId="1016" xr:uid="{00000000-0005-0000-0000-00001C050000}"/>
    <cellStyle name="_KT (2)_5_KH2-06 PT LHT Binh Thanh 2003_trinh bao gia_DUONG DOI THI XA-THU HOI-HC 2-3-07 xls_Song tra-750-tram nen" xfId="1017" xr:uid="{00000000-0005-0000-0000-00001D050000}"/>
    <cellStyle name="_KT (2)_5_KH2-06 PT LHT Binh Thanh 2003_trinh bao gia_DUONG DOI THI XA-THU HOI-HC 2-3-07 xls_Song tra-750-tram nen 2" xfId="2940" xr:uid="{00000000-0005-0000-0000-00001E050000}"/>
    <cellStyle name="_KT (2)_5_KH2-06 PT LHT Binh Thanh 2003_trinh bao gia_Gia cuoc van chuyen" xfId="1018" xr:uid="{00000000-0005-0000-0000-00001F050000}"/>
    <cellStyle name="_KT (2)_5_KH2-06 PT LHT Binh Thanh 2003_trinh bao gia_Khu dan cu SO 2(TK BV-TC)-1" xfId="1019" xr:uid="{00000000-0005-0000-0000-000020050000}"/>
    <cellStyle name="_KT (2)_5_KH2-06 PT LHT Binh Thanh 2003_trinh bao gia_KHU DAN CU SUOI VANG" xfId="1020" xr:uid="{00000000-0005-0000-0000-000021050000}"/>
    <cellStyle name="_KT (2)_5_KH2-06 PT LHT Binh Thanh 2003_trinh bao gia_Khu TDC Phuoc Trung" xfId="1021" xr:uid="{00000000-0005-0000-0000-000022050000}"/>
    <cellStyle name="_KT (2)_5_KH2-06 PT LHT Binh Thanh 2003_trinh bao gia_Pham Van Thanh" xfId="1022" xr:uid="{00000000-0005-0000-0000-000023050000}"/>
    <cellStyle name="_KT (2)_5_KH2-06 PT LHT Binh Thanh 2003_trinh bao gia_Phuoc My Giai Doan 3-gia moi-14-10-uni" xfId="1023" xr:uid="{00000000-0005-0000-0000-000024050000}"/>
    <cellStyle name="_KT (2)_5_KH2-06 PT LHT Binh Thanh 2003_trinh bao gia_Song tra-750-tram nen" xfId="1024" xr:uid="{00000000-0005-0000-0000-000025050000}"/>
    <cellStyle name="_KT (2)_5_KH2-06 PT LHT Binh Thanh 2003_trinh bao gia_Song tra-750-tram nen 2" xfId="2941" xr:uid="{00000000-0005-0000-0000-000026050000}"/>
    <cellStyle name="_KT (2)_5_KH2-06 PT LHT Binh Thanh 2003_trinh bao gia_Thuan Bac-sua lai" xfId="1025" xr:uid="{00000000-0005-0000-0000-000027050000}"/>
    <cellStyle name="_KT (2)_5_KH2-06 PT LHT Binh Thanh 2003_trinh bao gia_VKim" xfId="1026" xr:uid="{00000000-0005-0000-0000-000028050000}"/>
    <cellStyle name="_KT (2)_5_KINH DOANH_ SCL 2015" xfId="3864" xr:uid="{00000000-0005-0000-0000-000029050000}"/>
    <cellStyle name="_KT (2)_5_Lora-tungchau" xfId="1027" xr:uid="{00000000-0005-0000-0000-00002A050000}"/>
    <cellStyle name="_KT (2)_5_Lora-tungchau_Song tra-750-tram nen" xfId="1028" xr:uid="{00000000-0005-0000-0000-00002B050000}"/>
    <cellStyle name="_KT (2)_5_Lora-tungchau_Song tra-750-tram nen 2" xfId="2942" xr:uid="{00000000-0005-0000-0000-00002C050000}"/>
    <cellStyle name="_KT (2)_5_MUOI TINH PHUOC MINH" xfId="1029" xr:uid="{00000000-0005-0000-0000-00002D050000}"/>
    <cellStyle name="_KT (2)_5_MUOI TINH PHUOC MINH_Song tra-750-tram nen" xfId="1030" xr:uid="{00000000-0005-0000-0000-00002E050000}"/>
    <cellStyle name="_KT (2)_5_MUOI TINH PHUOC MINH_Song tra-750-tram nen 2" xfId="2943" xr:uid="{00000000-0005-0000-0000-00002F050000}"/>
    <cellStyle name="_KT (2)_5_PGIA-phieu tham tra Kho bac" xfId="1031" xr:uid="{00000000-0005-0000-0000-000030050000}"/>
    <cellStyle name="_KT (2)_5_PGIA-phieu tham tra Kho bac_Book1" xfId="1032" xr:uid="{00000000-0005-0000-0000-000031050000}"/>
    <cellStyle name="_KT (2)_5_PGIA-phieu tham tra Kho bac_Book1_Song tra-750-tram nen" xfId="1033" xr:uid="{00000000-0005-0000-0000-000032050000}"/>
    <cellStyle name="_KT (2)_5_PGIA-phieu tham tra Kho bac_Book1_Song tra-750-tram nen 2" xfId="2944" xr:uid="{00000000-0005-0000-0000-000033050000}"/>
    <cellStyle name="_KT (2)_5_PGIA-phieu tham tra Kho bac_DT Ngoc Ha" xfId="1034" xr:uid="{00000000-0005-0000-0000-000034050000}"/>
    <cellStyle name="_KT (2)_5_PGIA-phieu tham tra Kho bac_DT Ngoc Ha_Song tra-750-tram nen" xfId="1035" xr:uid="{00000000-0005-0000-0000-000035050000}"/>
    <cellStyle name="_KT (2)_5_PGIA-phieu tham tra Kho bac_DT Ngoc Ha_Song tra-750-tram nen 2" xfId="2945" xr:uid="{00000000-0005-0000-0000-000036050000}"/>
    <cellStyle name="_KT (2)_5_PGIA-phieu tham tra Kho bac_MUOI TINH PHUOC MINH" xfId="1036" xr:uid="{00000000-0005-0000-0000-000037050000}"/>
    <cellStyle name="_KT (2)_5_PGIA-phieu tham tra Kho bac_MUOI TINH PHUOC MINH_Song tra-750-tram nen" xfId="1037" xr:uid="{00000000-0005-0000-0000-000038050000}"/>
    <cellStyle name="_KT (2)_5_PGIA-phieu tham tra Kho bac_MUOI TINH PHUOC MINH_Song tra-750-tram nen 2" xfId="2946" xr:uid="{00000000-0005-0000-0000-000039050000}"/>
    <cellStyle name="_KT (2)_5_PGIA-phieu tham tra Kho bac_Song tra-750-tram nen" xfId="1038" xr:uid="{00000000-0005-0000-0000-00003A050000}"/>
    <cellStyle name="_KT (2)_5_PGIA-phieu tham tra Kho bac_Song tra-750-tram nen 2" xfId="2947" xr:uid="{00000000-0005-0000-0000-00003B050000}"/>
    <cellStyle name="_KT (2)_5_PGIA-phieu tham tra Kho bac_TDC Tan My" xfId="1039" xr:uid="{00000000-0005-0000-0000-00003C050000}"/>
    <cellStyle name="_KT (2)_5_PGIA-phieu tham tra Kho bac_TDC Tan My_Song tra-750-tram nen" xfId="1040" xr:uid="{00000000-0005-0000-0000-00003D050000}"/>
    <cellStyle name="_KT (2)_5_PGIA-phieu tham tra Kho bac_TDC Tan My_Song tra-750-tram nen 2" xfId="2948" xr:uid="{00000000-0005-0000-0000-00003E050000}"/>
    <cellStyle name="_KT (2)_5_PGIA-phieu tham tra Kho bac_trinh bao gia" xfId="1041" xr:uid="{00000000-0005-0000-0000-00003F050000}"/>
    <cellStyle name="_KT (2)_5_PGIA-phieu tham tra Kho bac_trinh bao gia_06 Thuy san Ninh Phuoc (luu 21-06)" xfId="1042" xr:uid="{00000000-0005-0000-0000-000040050000}"/>
    <cellStyle name="_KT (2)_5_PGIA-phieu tham tra Kho bac_trinh bao gia_BAO TRO XH-DU TOAN" xfId="1043" xr:uid="{00000000-0005-0000-0000-000041050000}"/>
    <cellStyle name="_KT (2)_5_PGIA-phieu tham tra Kho bac_trinh bao gia_BD" xfId="1044" xr:uid="{00000000-0005-0000-0000-000042050000}"/>
    <cellStyle name="_KT (2)_5_PGIA-phieu tham tra Kho bac_trinh bao gia_DI DOI TRUONG LE QUY DON-HC HOAN CONG" xfId="1045" xr:uid="{00000000-0005-0000-0000-000043050000}"/>
    <cellStyle name="_KT (2)_5_PGIA-phieu tham tra Kho bac_trinh bao gia_DUONG DOI TAN HOI-NEW 21-8-2006" xfId="1046" xr:uid="{00000000-0005-0000-0000-000044050000}"/>
    <cellStyle name="_KT (2)_5_PGIA-phieu tham tra Kho bac_trinh bao gia_DUONG DOI THI XA-THU HOI-HC 2-3-07 xls" xfId="1047" xr:uid="{00000000-0005-0000-0000-000045050000}"/>
    <cellStyle name="_KT (2)_5_PGIA-phieu tham tra Kho bac_trinh bao gia_DUONG DOI THI XA-THU HOI-HC 2-3-07 xls_Song tra-750-tram nen" xfId="1048" xr:uid="{00000000-0005-0000-0000-000046050000}"/>
    <cellStyle name="_KT (2)_5_PGIA-phieu tham tra Kho bac_trinh bao gia_DUONG DOI THI XA-THU HOI-HC 2-3-07 xls_Song tra-750-tram nen 2" xfId="2949" xr:uid="{00000000-0005-0000-0000-000047050000}"/>
    <cellStyle name="_KT (2)_5_PGIA-phieu tham tra Kho bac_trinh bao gia_Gia cuoc van chuyen" xfId="1049" xr:uid="{00000000-0005-0000-0000-000048050000}"/>
    <cellStyle name="_KT (2)_5_PGIA-phieu tham tra Kho bac_trinh bao gia_Khu dan cu SO 2(TK BV-TC)-1" xfId="1050" xr:uid="{00000000-0005-0000-0000-000049050000}"/>
    <cellStyle name="_KT (2)_5_PGIA-phieu tham tra Kho bac_trinh bao gia_KHU DAN CU SUOI VANG" xfId="1051" xr:uid="{00000000-0005-0000-0000-00004A050000}"/>
    <cellStyle name="_KT (2)_5_PGIA-phieu tham tra Kho bac_trinh bao gia_Khu TDC Phuoc Trung" xfId="1052" xr:uid="{00000000-0005-0000-0000-00004B050000}"/>
    <cellStyle name="_KT (2)_5_PGIA-phieu tham tra Kho bac_trinh bao gia_Pham Van Thanh" xfId="1053" xr:uid="{00000000-0005-0000-0000-00004C050000}"/>
    <cellStyle name="_KT (2)_5_PGIA-phieu tham tra Kho bac_trinh bao gia_Phuoc My Giai Doan 3-gia moi-14-10-uni" xfId="1054" xr:uid="{00000000-0005-0000-0000-00004D050000}"/>
    <cellStyle name="_KT (2)_5_PGIA-phieu tham tra Kho bac_trinh bao gia_Song tra-750-tram nen" xfId="1055" xr:uid="{00000000-0005-0000-0000-00004E050000}"/>
    <cellStyle name="_KT (2)_5_PGIA-phieu tham tra Kho bac_trinh bao gia_Song tra-750-tram nen 2" xfId="2950" xr:uid="{00000000-0005-0000-0000-00004F050000}"/>
    <cellStyle name="_KT (2)_5_PGIA-phieu tham tra Kho bac_trinh bao gia_Thuan Bac-sua lai" xfId="1056" xr:uid="{00000000-0005-0000-0000-000050050000}"/>
    <cellStyle name="_KT (2)_5_PGIA-phieu tham tra Kho bac_trinh bao gia_VKim" xfId="1057" xr:uid="{00000000-0005-0000-0000-000051050000}"/>
    <cellStyle name="_KT (2)_5_PGIA-phieu tham tra Kho bac_Truong day nghe (20.1.06)" xfId="1058" xr:uid="{00000000-0005-0000-0000-000052050000}"/>
    <cellStyle name="_KT (2)_5_PGIA-phieu tham tra Kho bac_Truong day nghe (20.1.06) 2" xfId="2951" xr:uid="{00000000-0005-0000-0000-000053050000}"/>
    <cellStyle name="_KT (2)_5_PHUOC HUU" xfId="1059" xr:uid="{00000000-0005-0000-0000-000054050000}"/>
    <cellStyle name="_KT (2)_5_PHUOC HUU_Song tra-750-tram nen" xfId="1060" xr:uid="{00000000-0005-0000-0000-000055050000}"/>
    <cellStyle name="_KT (2)_5_PHUOC HUU_Song tra-750-tram nen 2" xfId="2952" xr:uid="{00000000-0005-0000-0000-000056050000}"/>
    <cellStyle name="_KT (2)_5_PT02-02" xfId="1061" xr:uid="{00000000-0005-0000-0000-000057050000}"/>
    <cellStyle name="_KT (2)_5_PT02-02_Book1" xfId="1062" xr:uid="{00000000-0005-0000-0000-000058050000}"/>
    <cellStyle name="_KT (2)_5_PT02-02_Book1_Song tra-750-tram nen" xfId="1063" xr:uid="{00000000-0005-0000-0000-000059050000}"/>
    <cellStyle name="_KT (2)_5_PT02-02_Book1_Song tra-750-tram nen 2" xfId="2953" xr:uid="{00000000-0005-0000-0000-00005A050000}"/>
    <cellStyle name="_KT (2)_5_PT02-02_DT Ngoc Ha" xfId="1064" xr:uid="{00000000-0005-0000-0000-00005B050000}"/>
    <cellStyle name="_KT (2)_5_PT02-02_DT Ngoc Ha_Song tra-750-tram nen" xfId="1065" xr:uid="{00000000-0005-0000-0000-00005C050000}"/>
    <cellStyle name="_KT (2)_5_PT02-02_DT Ngoc Ha_Song tra-750-tram nen 2" xfId="2954" xr:uid="{00000000-0005-0000-0000-00005D050000}"/>
    <cellStyle name="_KT (2)_5_PT02-02_MUOI TINH PHUOC MINH" xfId="1066" xr:uid="{00000000-0005-0000-0000-00005E050000}"/>
    <cellStyle name="_KT (2)_5_PT02-02_MUOI TINH PHUOC MINH_Song tra-750-tram nen" xfId="1067" xr:uid="{00000000-0005-0000-0000-00005F050000}"/>
    <cellStyle name="_KT (2)_5_PT02-02_MUOI TINH PHUOC MINH_Song tra-750-tram nen 2" xfId="2955" xr:uid="{00000000-0005-0000-0000-000060050000}"/>
    <cellStyle name="_KT (2)_5_PT02-02_Song tra-750-tram nen" xfId="1068" xr:uid="{00000000-0005-0000-0000-000061050000}"/>
    <cellStyle name="_KT (2)_5_PT02-02_Song tra-750-tram nen 2" xfId="2956" xr:uid="{00000000-0005-0000-0000-000062050000}"/>
    <cellStyle name="_KT (2)_5_PT02-02_TDC Tan My" xfId="1069" xr:uid="{00000000-0005-0000-0000-000063050000}"/>
    <cellStyle name="_KT (2)_5_PT02-02_TDC Tan My_Song tra-750-tram nen" xfId="1070" xr:uid="{00000000-0005-0000-0000-000064050000}"/>
    <cellStyle name="_KT (2)_5_PT02-02_TDC Tan My_Song tra-750-tram nen 2" xfId="2957" xr:uid="{00000000-0005-0000-0000-000065050000}"/>
    <cellStyle name="_KT (2)_5_PT02-02_trinh bao gia" xfId="1071" xr:uid="{00000000-0005-0000-0000-000066050000}"/>
    <cellStyle name="_KT (2)_5_PT02-02_trinh bao gia_06 Thuy san Ninh Phuoc (luu 21-06)" xfId="1072" xr:uid="{00000000-0005-0000-0000-000067050000}"/>
    <cellStyle name="_KT (2)_5_PT02-02_trinh bao gia_BAO TRO XH-DU TOAN" xfId="1073" xr:uid="{00000000-0005-0000-0000-000068050000}"/>
    <cellStyle name="_KT (2)_5_PT02-02_trinh bao gia_BD" xfId="1074" xr:uid="{00000000-0005-0000-0000-000069050000}"/>
    <cellStyle name="_KT (2)_5_PT02-02_trinh bao gia_DI DOI TRUONG LE QUY DON-HC HOAN CONG" xfId="1075" xr:uid="{00000000-0005-0000-0000-00006A050000}"/>
    <cellStyle name="_KT (2)_5_PT02-02_trinh bao gia_DUONG DOI TAN HOI-NEW 21-8-2006" xfId="1076" xr:uid="{00000000-0005-0000-0000-00006B050000}"/>
    <cellStyle name="_KT (2)_5_PT02-02_trinh bao gia_DUONG DOI THI XA-THU HOI-HC 2-3-07 xls" xfId="1077" xr:uid="{00000000-0005-0000-0000-00006C050000}"/>
    <cellStyle name="_KT (2)_5_PT02-02_trinh bao gia_DUONG DOI THI XA-THU HOI-HC 2-3-07 xls_Song tra-750-tram nen" xfId="1078" xr:uid="{00000000-0005-0000-0000-00006D050000}"/>
    <cellStyle name="_KT (2)_5_PT02-02_trinh bao gia_DUONG DOI THI XA-THU HOI-HC 2-3-07 xls_Song tra-750-tram nen 2" xfId="2958" xr:uid="{00000000-0005-0000-0000-00006E050000}"/>
    <cellStyle name="_KT (2)_5_PT02-02_trinh bao gia_Gia cuoc van chuyen" xfId="1079" xr:uid="{00000000-0005-0000-0000-00006F050000}"/>
    <cellStyle name="_KT (2)_5_PT02-02_trinh bao gia_Khu dan cu SO 2(TK BV-TC)-1" xfId="1080" xr:uid="{00000000-0005-0000-0000-000070050000}"/>
    <cellStyle name="_KT (2)_5_PT02-02_trinh bao gia_KHU DAN CU SUOI VANG" xfId="1081" xr:uid="{00000000-0005-0000-0000-000071050000}"/>
    <cellStyle name="_KT (2)_5_PT02-02_trinh bao gia_Khu TDC Phuoc Trung" xfId="1082" xr:uid="{00000000-0005-0000-0000-000072050000}"/>
    <cellStyle name="_KT (2)_5_PT02-02_trinh bao gia_Pham Van Thanh" xfId="1083" xr:uid="{00000000-0005-0000-0000-000073050000}"/>
    <cellStyle name="_KT (2)_5_PT02-02_trinh bao gia_Phuoc My Giai Doan 3-gia moi-14-10-uni" xfId="1084" xr:uid="{00000000-0005-0000-0000-000074050000}"/>
    <cellStyle name="_KT (2)_5_PT02-02_trinh bao gia_Song tra-750-tram nen" xfId="1085" xr:uid="{00000000-0005-0000-0000-000075050000}"/>
    <cellStyle name="_KT (2)_5_PT02-02_trinh bao gia_Song tra-750-tram nen 2" xfId="2959" xr:uid="{00000000-0005-0000-0000-000076050000}"/>
    <cellStyle name="_KT (2)_5_PT02-02_trinh bao gia_Thuan Bac-sua lai" xfId="1086" xr:uid="{00000000-0005-0000-0000-000077050000}"/>
    <cellStyle name="_KT (2)_5_PT02-02_trinh bao gia_VKim" xfId="1087" xr:uid="{00000000-0005-0000-0000-000078050000}"/>
    <cellStyle name="_KT (2)_5_PT02-02_Truong day nghe (20.1.06)" xfId="1088" xr:uid="{00000000-0005-0000-0000-000079050000}"/>
    <cellStyle name="_KT (2)_5_PT02-02_Truong day nghe (20.1.06) 2" xfId="2960" xr:uid="{00000000-0005-0000-0000-00007A050000}"/>
    <cellStyle name="_KT (2)_5_PT02-03" xfId="1089" xr:uid="{00000000-0005-0000-0000-00007B050000}"/>
    <cellStyle name="_KT (2)_5_PT02-03_Book1" xfId="1090" xr:uid="{00000000-0005-0000-0000-00007C050000}"/>
    <cellStyle name="_KT (2)_5_PT02-03_Book1_Song tra-750-tram nen" xfId="1091" xr:uid="{00000000-0005-0000-0000-00007D050000}"/>
    <cellStyle name="_KT (2)_5_PT02-03_Book1_Song tra-750-tram nen 2" xfId="2961" xr:uid="{00000000-0005-0000-0000-00007E050000}"/>
    <cellStyle name="_KT (2)_5_PT02-03_DT Ngoc Ha" xfId="1092" xr:uid="{00000000-0005-0000-0000-00007F050000}"/>
    <cellStyle name="_KT (2)_5_PT02-03_DT Ngoc Ha_Song tra-750-tram nen" xfId="1093" xr:uid="{00000000-0005-0000-0000-000080050000}"/>
    <cellStyle name="_KT (2)_5_PT02-03_DT Ngoc Ha_Song tra-750-tram nen 2" xfId="2962" xr:uid="{00000000-0005-0000-0000-000081050000}"/>
    <cellStyle name="_KT (2)_5_PT02-03_MUOI TINH PHUOC MINH" xfId="1094" xr:uid="{00000000-0005-0000-0000-000082050000}"/>
    <cellStyle name="_KT (2)_5_PT02-03_MUOI TINH PHUOC MINH_Song tra-750-tram nen" xfId="1095" xr:uid="{00000000-0005-0000-0000-000083050000}"/>
    <cellStyle name="_KT (2)_5_PT02-03_MUOI TINH PHUOC MINH_Song tra-750-tram nen 2" xfId="2963" xr:uid="{00000000-0005-0000-0000-000084050000}"/>
    <cellStyle name="_KT (2)_5_PT02-03_Song tra-750-tram nen" xfId="1096" xr:uid="{00000000-0005-0000-0000-000085050000}"/>
    <cellStyle name="_KT (2)_5_PT02-03_Song tra-750-tram nen 2" xfId="2964" xr:uid="{00000000-0005-0000-0000-000086050000}"/>
    <cellStyle name="_KT (2)_5_PT02-03_TDC Tan My" xfId="1097" xr:uid="{00000000-0005-0000-0000-000087050000}"/>
    <cellStyle name="_KT (2)_5_PT02-03_TDC Tan My_Song tra-750-tram nen" xfId="1098" xr:uid="{00000000-0005-0000-0000-000088050000}"/>
    <cellStyle name="_KT (2)_5_PT02-03_TDC Tan My_Song tra-750-tram nen 2" xfId="2965" xr:uid="{00000000-0005-0000-0000-000089050000}"/>
    <cellStyle name="_KT (2)_5_PT02-03_trinh bao gia" xfId="1099" xr:uid="{00000000-0005-0000-0000-00008A050000}"/>
    <cellStyle name="_KT (2)_5_PT02-03_trinh bao gia_06 Thuy san Ninh Phuoc (luu 21-06)" xfId="1100" xr:uid="{00000000-0005-0000-0000-00008B050000}"/>
    <cellStyle name="_KT (2)_5_PT02-03_trinh bao gia_BAO TRO XH-DU TOAN" xfId="1101" xr:uid="{00000000-0005-0000-0000-00008C050000}"/>
    <cellStyle name="_KT (2)_5_PT02-03_trinh bao gia_BD" xfId="1102" xr:uid="{00000000-0005-0000-0000-00008D050000}"/>
    <cellStyle name="_KT (2)_5_PT02-03_trinh bao gia_DI DOI TRUONG LE QUY DON-HC HOAN CONG" xfId="1103" xr:uid="{00000000-0005-0000-0000-00008E050000}"/>
    <cellStyle name="_KT (2)_5_PT02-03_trinh bao gia_DUONG DOI TAN HOI-NEW 21-8-2006" xfId="1104" xr:uid="{00000000-0005-0000-0000-00008F050000}"/>
    <cellStyle name="_KT (2)_5_PT02-03_trinh bao gia_DUONG DOI THI XA-THU HOI-HC 2-3-07 xls" xfId="1105" xr:uid="{00000000-0005-0000-0000-000090050000}"/>
    <cellStyle name="_KT (2)_5_PT02-03_trinh bao gia_DUONG DOI THI XA-THU HOI-HC 2-3-07 xls_Song tra-750-tram nen" xfId="1106" xr:uid="{00000000-0005-0000-0000-000091050000}"/>
    <cellStyle name="_KT (2)_5_PT02-03_trinh bao gia_DUONG DOI THI XA-THU HOI-HC 2-3-07 xls_Song tra-750-tram nen 2" xfId="2966" xr:uid="{00000000-0005-0000-0000-000092050000}"/>
    <cellStyle name="_KT (2)_5_PT02-03_trinh bao gia_Gia cuoc van chuyen" xfId="1107" xr:uid="{00000000-0005-0000-0000-000093050000}"/>
    <cellStyle name="_KT (2)_5_PT02-03_trinh bao gia_Khu dan cu SO 2(TK BV-TC)-1" xfId="1108" xr:uid="{00000000-0005-0000-0000-000094050000}"/>
    <cellStyle name="_KT (2)_5_PT02-03_trinh bao gia_KHU DAN CU SUOI VANG" xfId="1109" xr:uid="{00000000-0005-0000-0000-000095050000}"/>
    <cellStyle name="_KT (2)_5_PT02-03_trinh bao gia_Khu TDC Phuoc Trung" xfId="1110" xr:uid="{00000000-0005-0000-0000-000096050000}"/>
    <cellStyle name="_KT (2)_5_PT02-03_trinh bao gia_Pham Van Thanh" xfId="1111" xr:uid="{00000000-0005-0000-0000-000097050000}"/>
    <cellStyle name="_KT (2)_5_PT02-03_trinh bao gia_Phuoc My Giai Doan 3-gia moi-14-10-uni" xfId="1112" xr:uid="{00000000-0005-0000-0000-000098050000}"/>
    <cellStyle name="_KT (2)_5_PT02-03_trinh bao gia_Song tra-750-tram nen" xfId="1113" xr:uid="{00000000-0005-0000-0000-000099050000}"/>
    <cellStyle name="_KT (2)_5_PT02-03_trinh bao gia_Song tra-750-tram nen 2" xfId="2967" xr:uid="{00000000-0005-0000-0000-00009A050000}"/>
    <cellStyle name="_KT (2)_5_PT02-03_trinh bao gia_Thuan Bac-sua lai" xfId="1114" xr:uid="{00000000-0005-0000-0000-00009B050000}"/>
    <cellStyle name="_KT (2)_5_PT02-03_trinh bao gia_VKim" xfId="1115" xr:uid="{00000000-0005-0000-0000-00009C050000}"/>
    <cellStyle name="_KT (2)_5_PT02-03_Truong day nghe (20.1.06)" xfId="1116" xr:uid="{00000000-0005-0000-0000-00009D050000}"/>
    <cellStyle name="_KT (2)_5_PT02-03_Truong day nghe (20.1.06) 2" xfId="2968" xr:uid="{00000000-0005-0000-0000-00009E050000}"/>
    <cellStyle name="_KT (2)_5_Qt-HT3PQ1(CauKho)" xfId="1117" xr:uid="{00000000-0005-0000-0000-00009F050000}"/>
    <cellStyle name="_KT (2)_5_Qt-HT3PQ1(CauKho)_Song tra-750-tram nen" xfId="1118" xr:uid="{00000000-0005-0000-0000-0000A0050000}"/>
    <cellStyle name="_KT (2)_5_Qt-HT3PQ1(CauKho)_Song tra-750-tram nen 2" xfId="2969" xr:uid="{00000000-0005-0000-0000-0000A1050000}"/>
    <cellStyle name="_KT (2)_5_SCL 07-Phuoc Hau-unicod" xfId="1119" xr:uid="{00000000-0005-0000-0000-0000A2050000}"/>
    <cellStyle name="_KT (2)_5_SCL tram GO DEN - GO THAO" xfId="1120" xr:uid="{00000000-0005-0000-0000-0000A3050000}"/>
    <cellStyle name="_KT (2)_5_SO TRU TRUNG AP SCL GUI ANH PHUONG" xfId="3865" xr:uid="{00000000-0005-0000-0000-0000A4050000}"/>
    <cellStyle name="_KT (2)_5_Song tra-750-tram nen" xfId="1121" xr:uid="{00000000-0005-0000-0000-0000A5050000}"/>
    <cellStyle name="_KT (2)_5_Song tra-750-tram nen 2" xfId="2970" xr:uid="{00000000-0005-0000-0000-0000A6050000}"/>
    <cellStyle name="_KT (2)_5_sua chua lon Thao 1" xfId="3866" xr:uid="{00000000-0005-0000-0000-0000A7050000}"/>
    <cellStyle name="_KT (2)_5_TDC Tan My" xfId="1122" xr:uid="{00000000-0005-0000-0000-0000A8050000}"/>
    <cellStyle name="_KT (2)_5_TDC Tan My_Song tra-750-tram nen" xfId="1123" xr:uid="{00000000-0005-0000-0000-0000A9050000}"/>
    <cellStyle name="_KT (2)_5_TDC Tan My_Song tra-750-tram nen 2" xfId="2971" xr:uid="{00000000-0005-0000-0000-0000AA050000}"/>
    <cellStyle name="_KT (2)_5_TDT-MAU2" xfId="1124" xr:uid="{00000000-0005-0000-0000-0000AB050000}"/>
    <cellStyle name="_KT (2)_5_TDT-MAU2_Song tra-750-tram nen" xfId="1125" xr:uid="{00000000-0005-0000-0000-0000AC050000}"/>
    <cellStyle name="_KT (2)_5_TDT-MAU2_Song tra-750-tram nen 2" xfId="2972" xr:uid="{00000000-0005-0000-0000-0000AD050000}"/>
    <cellStyle name="_KT (2)_5_THANHLOC Khai Hung" xfId="1126" xr:uid="{00000000-0005-0000-0000-0000AE050000}"/>
    <cellStyle name="_KT (2)_5_THANHLOC Khai Hung_Book1" xfId="1127" xr:uid="{00000000-0005-0000-0000-0000AF050000}"/>
    <cellStyle name="_KT (2)_5_THANHLOC Khai Hung_Book1_Song tra-750-tram nen" xfId="1128" xr:uid="{00000000-0005-0000-0000-0000B0050000}"/>
    <cellStyle name="_KT (2)_5_THANHLOC Khai Hung_Book1_Song tra-750-tram nen 2" xfId="2973" xr:uid="{00000000-0005-0000-0000-0000B1050000}"/>
    <cellStyle name="_KT (2)_5_THANHLOC Khai Hung_Song tra-750-tram nen" xfId="1129" xr:uid="{00000000-0005-0000-0000-0000B2050000}"/>
    <cellStyle name="_KT (2)_5_THANHLOC Khai Hung_Song tra-750-tram nen 2" xfId="2974" xr:uid="{00000000-0005-0000-0000-0000B3050000}"/>
    <cellStyle name="_KT (2)_5_THANHLOC Khai Hung_trinh bao gia" xfId="1130" xr:uid="{00000000-0005-0000-0000-0000B4050000}"/>
    <cellStyle name="_KT (2)_5_THANHLOC Khai Hung_trinh bao gia_06 Thuy san Ninh Phuoc (luu 21-06)" xfId="1131" xr:uid="{00000000-0005-0000-0000-0000B5050000}"/>
    <cellStyle name="_KT (2)_5_THANHLOC Khai Hung_trinh bao gia_BAO TRO XH-DU TOAN" xfId="1132" xr:uid="{00000000-0005-0000-0000-0000B6050000}"/>
    <cellStyle name="_KT (2)_5_THANHLOC Khai Hung_trinh bao gia_BD" xfId="1133" xr:uid="{00000000-0005-0000-0000-0000B7050000}"/>
    <cellStyle name="_KT (2)_5_THANHLOC Khai Hung_trinh bao gia_DI DOI TRUONG LE QUY DON-HC HOAN CONG" xfId="1134" xr:uid="{00000000-0005-0000-0000-0000B8050000}"/>
    <cellStyle name="_KT (2)_5_THANHLOC Khai Hung_trinh bao gia_DUONG DOI TAN HOI-NEW 21-8-2006" xfId="1135" xr:uid="{00000000-0005-0000-0000-0000B9050000}"/>
    <cellStyle name="_KT (2)_5_THANHLOC Khai Hung_trinh bao gia_DUONG DOI THI XA-THU HOI-HC 2-3-07 xls" xfId="1136" xr:uid="{00000000-0005-0000-0000-0000BA050000}"/>
    <cellStyle name="_KT (2)_5_THANHLOC Khai Hung_trinh bao gia_DUONG DOI THI XA-THU HOI-HC 2-3-07 xls_Song tra-750-tram nen" xfId="1137" xr:uid="{00000000-0005-0000-0000-0000BB050000}"/>
    <cellStyle name="_KT (2)_5_THANHLOC Khai Hung_trinh bao gia_DUONG DOI THI XA-THU HOI-HC 2-3-07 xls_Song tra-750-tram nen 2" xfId="2975" xr:uid="{00000000-0005-0000-0000-0000BC050000}"/>
    <cellStyle name="_KT (2)_5_THANHLOC Khai Hung_trinh bao gia_Gia cuoc van chuyen" xfId="1138" xr:uid="{00000000-0005-0000-0000-0000BD050000}"/>
    <cellStyle name="_KT (2)_5_THANHLOC Khai Hung_trinh bao gia_Khu dan cu SO 2(TK BV-TC)-1" xfId="1139" xr:uid="{00000000-0005-0000-0000-0000BE050000}"/>
    <cellStyle name="_KT (2)_5_THANHLOC Khai Hung_trinh bao gia_KHU DAN CU SUOI VANG" xfId="1140" xr:uid="{00000000-0005-0000-0000-0000BF050000}"/>
    <cellStyle name="_KT (2)_5_THANHLOC Khai Hung_trinh bao gia_Khu TDC Phuoc Trung" xfId="1141" xr:uid="{00000000-0005-0000-0000-0000C0050000}"/>
    <cellStyle name="_KT (2)_5_THANHLOC Khai Hung_trinh bao gia_Pham Van Thanh" xfId="1142" xr:uid="{00000000-0005-0000-0000-0000C1050000}"/>
    <cellStyle name="_KT (2)_5_THANHLOC Khai Hung_trinh bao gia_Phuoc My Giai Doan 3-gia moi-14-10-uni" xfId="1143" xr:uid="{00000000-0005-0000-0000-0000C2050000}"/>
    <cellStyle name="_KT (2)_5_THANHLOC Khai Hung_trinh bao gia_Song tra-750-tram nen" xfId="1144" xr:uid="{00000000-0005-0000-0000-0000C3050000}"/>
    <cellStyle name="_KT (2)_5_THANHLOC Khai Hung_trinh bao gia_Song tra-750-tram nen 2" xfId="2976" xr:uid="{00000000-0005-0000-0000-0000C4050000}"/>
    <cellStyle name="_KT (2)_5_THANHLOC Khai Hung_trinh bao gia_Thuan Bac-sua lai" xfId="1145" xr:uid="{00000000-0005-0000-0000-0000C5050000}"/>
    <cellStyle name="_KT (2)_5_THANHLOC Khai Hung_trinh bao gia_VKim" xfId="1146" xr:uid="{00000000-0005-0000-0000-0000C6050000}"/>
    <cellStyle name="_KT (2)_5_THG" xfId="1147" xr:uid="{00000000-0005-0000-0000-0000C7050000}"/>
    <cellStyle name="_KT (2)_5_THG_Song tra-750-tram nen" xfId="1148" xr:uid="{00000000-0005-0000-0000-0000C8050000}"/>
    <cellStyle name="_KT (2)_5_THG_Song tra-750-tram nen 2" xfId="2977" xr:uid="{00000000-0005-0000-0000-0000C9050000}"/>
    <cellStyle name="_KT (2)_5_TONG KE GO DEN-GO THAO" xfId="1149" xr:uid="{00000000-0005-0000-0000-0000CA050000}"/>
    <cellStyle name="_KT (2)_5_Tong ke SCL bo sung 2007" xfId="1150" xr:uid="{00000000-0005-0000-0000-0000CB050000}"/>
    <cellStyle name="_KT (2)_5_Tong ke sua chua DZ dke (xoa tong gd 2)-NLam 2 -Vtu" xfId="1151" xr:uid="{00000000-0005-0000-0000-0000CC050000}"/>
    <cellStyle name="_KT (2)_5_Tong ke sua chua DZ dke (xoa tong gd 2)-NLam-Vtu" xfId="1152" xr:uid="{00000000-0005-0000-0000-0000CD050000}"/>
    <cellStyle name="_KT (2)_5_Tong ke sua chua DZ dke (xoa tong gd 2)-VLam 1" xfId="1153" xr:uid="{00000000-0005-0000-0000-0000CE050000}"/>
    <cellStyle name="_KT (2)_5_Tong ke sua chua DZ dke (xoa tong gd 2)-VLam 2" xfId="1154" xr:uid="{00000000-0005-0000-0000-0000CF050000}"/>
    <cellStyle name="_KT (2)_5_trinh bao gia" xfId="1155" xr:uid="{00000000-0005-0000-0000-0000D0050000}"/>
    <cellStyle name="_KT (2)_5_trinh bao gia_06 Thuy san Ninh Phuoc (luu 21-06)" xfId="1156" xr:uid="{00000000-0005-0000-0000-0000D1050000}"/>
    <cellStyle name="_KT (2)_5_trinh bao gia_BAO TRO XH-DU TOAN" xfId="1157" xr:uid="{00000000-0005-0000-0000-0000D2050000}"/>
    <cellStyle name="_KT (2)_5_trinh bao gia_BD" xfId="1158" xr:uid="{00000000-0005-0000-0000-0000D3050000}"/>
    <cellStyle name="_KT (2)_5_trinh bao gia_DI DOI TRUONG LE QUY DON-HC HOAN CONG" xfId="1159" xr:uid="{00000000-0005-0000-0000-0000D4050000}"/>
    <cellStyle name="_KT (2)_5_trinh bao gia_DUONG DOI TAN HOI-NEW 21-8-2006" xfId="1160" xr:uid="{00000000-0005-0000-0000-0000D5050000}"/>
    <cellStyle name="_KT (2)_5_trinh bao gia_DUONG DOI THI XA-THU HOI-HC 2-3-07 xls" xfId="1161" xr:uid="{00000000-0005-0000-0000-0000D6050000}"/>
    <cellStyle name="_KT (2)_5_trinh bao gia_DUONG DOI THI XA-THU HOI-HC 2-3-07 xls_Song tra-750-tram nen" xfId="1162" xr:uid="{00000000-0005-0000-0000-0000D7050000}"/>
    <cellStyle name="_KT (2)_5_trinh bao gia_DUONG DOI THI XA-THU HOI-HC 2-3-07 xls_Song tra-750-tram nen 2" xfId="2978" xr:uid="{00000000-0005-0000-0000-0000D8050000}"/>
    <cellStyle name="_KT (2)_5_trinh bao gia_Gia cuoc van chuyen" xfId="1163" xr:uid="{00000000-0005-0000-0000-0000D9050000}"/>
    <cellStyle name="_KT (2)_5_trinh bao gia_Khu dan cu SO 2(TK BV-TC)-1" xfId="1164" xr:uid="{00000000-0005-0000-0000-0000DA050000}"/>
    <cellStyle name="_KT (2)_5_trinh bao gia_KHU DAN CU SUOI VANG" xfId="1165" xr:uid="{00000000-0005-0000-0000-0000DB050000}"/>
    <cellStyle name="_KT (2)_5_trinh bao gia_Khu TDC Phuoc Trung" xfId="1166" xr:uid="{00000000-0005-0000-0000-0000DC050000}"/>
    <cellStyle name="_KT (2)_5_trinh bao gia_Pham Van Thanh" xfId="1167" xr:uid="{00000000-0005-0000-0000-0000DD050000}"/>
    <cellStyle name="_KT (2)_5_trinh bao gia_Phuoc My Giai Doan 3-gia moi-14-10-uni" xfId="1168" xr:uid="{00000000-0005-0000-0000-0000DE050000}"/>
    <cellStyle name="_KT (2)_5_trinh bao gia_Song tra-750-tram nen" xfId="1169" xr:uid="{00000000-0005-0000-0000-0000DF050000}"/>
    <cellStyle name="_KT (2)_5_trinh bao gia_Song tra-750-tram nen 2" xfId="2979" xr:uid="{00000000-0005-0000-0000-0000E0050000}"/>
    <cellStyle name="_KT (2)_5_trinh bao gia_Thuan Bac-sua lai" xfId="1170" xr:uid="{00000000-0005-0000-0000-0000E1050000}"/>
    <cellStyle name="_KT (2)_5_trinh bao gia_VKim" xfId="1171" xr:uid="{00000000-0005-0000-0000-0000E2050000}"/>
    <cellStyle name="_KT (2)_5_Truong day nghe (20.1.06)" xfId="1172" xr:uid="{00000000-0005-0000-0000-0000E3050000}"/>
    <cellStyle name="_KT (2)_5_Truong day nghe (20.1.06) 2" xfId="2980" xr:uid="{00000000-0005-0000-0000-0000E4050000}"/>
    <cellStyle name="_KT (2)_6.BANG CHI TIET" xfId="1173" xr:uid="{00000000-0005-0000-0000-0000E5050000}"/>
    <cellStyle name="_KT (2)_BANG SO SANH NHAN CONG SC MBA DUYET" xfId="1174" xr:uid="{00000000-0005-0000-0000-0000E6050000}"/>
    <cellStyle name="_KT (2)_Book1" xfId="1175" xr:uid="{00000000-0005-0000-0000-0000E7050000}"/>
    <cellStyle name="_KT (2)_Book1_06 Muoi Tri Hai" xfId="1176" xr:uid="{00000000-0005-0000-0000-0000E8050000}"/>
    <cellStyle name="_KT (2)_Book1_06 Thuy san Ninh Phuoc (luu 21-06)" xfId="1177" xr:uid="{00000000-0005-0000-0000-0000E9050000}"/>
    <cellStyle name="_KT (2)_Book1_07-PHUOC HA.XLS-1" xfId="1178" xr:uid="{00000000-0005-0000-0000-0000EA050000}"/>
    <cellStyle name="_KT (2)_Book1_07-PHUOC HA.XLS-1_Song tra-750-tram nen" xfId="1179" xr:uid="{00000000-0005-0000-0000-0000EB050000}"/>
    <cellStyle name="_KT (2)_Book1_07-PHUOC HA.XLS-1_Song tra-750-tram nen 2" xfId="2981" xr:uid="{00000000-0005-0000-0000-0000EC050000}"/>
    <cellStyle name="_KT (2)_Book1_1" xfId="1180" xr:uid="{00000000-0005-0000-0000-0000ED050000}"/>
    <cellStyle name="_KT (2)_Book1_1_DT Ngoc Ha" xfId="1181" xr:uid="{00000000-0005-0000-0000-0000EE050000}"/>
    <cellStyle name="_KT (2)_Book1_1_DT Ngoc Ha_Song tra-750-tram nen" xfId="1182" xr:uid="{00000000-0005-0000-0000-0000EF050000}"/>
    <cellStyle name="_KT (2)_Book1_1_DT Ngoc Ha_Song tra-750-tram nen 2" xfId="2982" xr:uid="{00000000-0005-0000-0000-0000F0050000}"/>
    <cellStyle name="_KT (2)_Book1_1_Song tra-750-tram nen" xfId="1183" xr:uid="{00000000-0005-0000-0000-0000F1050000}"/>
    <cellStyle name="_KT (2)_Book1_2" xfId="1184" xr:uid="{00000000-0005-0000-0000-0000F2050000}"/>
    <cellStyle name="_KT (2)_Book1_6.BANG CHI TIET" xfId="1185" xr:uid="{00000000-0005-0000-0000-0000F3050000}"/>
    <cellStyle name="_KT (2)_Book1_BAO TRO XH-DU TOAN" xfId="1186" xr:uid="{00000000-0005-0000-0000-0000F4050000}"/>
    <cellStyle name="_KT (2)_Book1_BC-QT-WB-dthao" xfId="1187" xr:uid="{00000000-0005-0000-0000-0000F5050000}"/>
    <cellStyle name="_KT (2)_Book1_BC-QT-WB-dthao_06 Thuy san Ninh Phuoc (luu 21-06)" xfId="1188" xr:uid="{00000000-0005-0000-0000-0000F6050000}"/>
    <cellStyle name="_KT (2)_Book1_BC-QT-WB-dthao_BAO TRO XH-DU TOAN" xfId="1189" xr:uid="{00000000-0005-0000-0000-0000F7050000}"/>
    <cellStyle name="_KT (2)_Book1_BC-QT-WB-dthao_BD" xfId="1190" xr:uid="{00000000-0005-0000-0000-0000F8050000}"/>
    <cellStyle name="_KT (2)_Book1_BC-QT-WB-dthao_DI DOI TRUONG LE QUY DON-HC HOAN CONG" xfId="1191" xr:uid="{00000000-0005-0000-0000-0000F9050000}"/>
    <cellStyle name="_KT (2)_Book1_BC-QT-WB-dthao_DUONG DOI TAN HOI-NEW 21-8-2006" xfId="1192" xr:uid="{00000000-0005-0000-0000-0000FA050000}"/>
    <cellStyle name="_KT (2)_Book1_BC-QT-WB-dthao_DUONG DOI THI XA-THU HOI-HC 2-3-07 xls" xfId="1193" xr:uid="{00000000-0005-0000-0000-0000FB050000}"/>
    <cellStyle name="_KT (2)_Book1_BC-QT-WB-dthao_DUONG DOI THI XA-THU HOI-HC 2-3-07 xls_Song tra-750-tram nen" xfId="1194" xr:uid="{00000000-0005-0000-0000-0000FC050000}"/>
    <cellStyle name="_KT (2)_Book1_BC-QT-WB-dthao_DUONG DOI THI XA-THU HOI-HC 2-3-07 xls_Song tra-750-tram nen 2" xfId="2983" xr:uid="{00000000-0005-0000-0000-0000FD050000}"/>
    <cellStyle name="_KT (2)_Book1_BC-QT-WB-dthao_Gia cuoc van chuyen" xfId="1195" xr:uid="{00000000-0005-0000-0000-0000FE050000}"/>
    <cellStyle name="_KT (2)_Book1_BC-QT-WB-dthao_Khu dan cu SO 2(TK BV-TC)-1" xfId="1196" xr:uid="{00000000-0005-0000-0000-0000FF050000}"/>
    <cellStyle name="_KT (2)_Book1_BC-QT-WB-dthao_KHU DAN CU SUOI VANG" xfId="1197" xr:uid="{00000000-0005-0000-0000-000000060000}"/>
    <cellStyle name="_KT (2)_Book1_BC-QT-WB-dthao_Khu TDC Phuoc Trung" xfId="1198" xr:uid="{00000000-0005-0000-0000-000001060000}"/>
    <cellStyle name="_KT (2)_Book1_BC-QT-WB-dthao_Pham Van Thanh" xfId="1199" xr:uid="{00000000-0005-0000-0000-000002060000}"/>
    <cellStyle name="_KT (2)_Book1_BC-QT-WB-dthao_Phuoc My Giai Doan 3-gia moi-14-10-uni" xfId="1200" xr:uid="{00000000-0005-0000-0000-000003060000}"/>
    <cellStyle name="_KT (2)_Book1_BC-QT-WB-dthao_Song tra-750-tram nen" xfId="1201" xr:uid="{00000000-0005-0000-0000-000004060000}"/>
    <cellStyle name="_KT (2)_Book1_BC-QT-WB-dthao_Song tra-750-tram nen 2" xfId="2984" xr:uid="{00000000-0005-0000-0000-000005060000}"/>
    <cellStyle name="_KT (2)_Book1_BC-QT-WB-dthao_Thuan Bac-sua lai" xfId="1202" xr:uid="{00000000-0005-0000-0000-000006060000}"/>
    <cellStyle name="_KT (2)_Book1_BC-QT-WB-dthao_VKim" xfId="1203" xr:uid="{00000000-0005-0000-0000-000007060000}"/>
    <cellStyle name="_KT (2)_Book1_BD" xfId="1204" xr:uid="{00000000-0005-0000-0000-000008060000}"/>
    <cellStyle name="_KT (2)_Book1_Book1" xfId="1205" xr:uid="{00000000-0005-0000-0000-000009060000}"/>
    <cellStyle name="_KT (2)_Book1_Book1_06 Thuy san Ninh Phuoc (luu 21-06)" xfId="1206" xr:uid="{00000000-0005-0000-0000-00000A060000}"/>
    <cellStyle name="_KT (2)_Book1_Book1_1" xfId="1207" xr:uid="{00000000-0005-0000-0000-00000B060000}"/>
    <cellStyle name="_KT (2)_Book1_Book1_1_06 Thuy san Ninh Phuoc (luu 21-06)" xfId="1208" xr:uid="{00000000-0005-0000-0000-00000C060000}"/>
    <cellStyle name="_KT (2)_Book1_Book1_1_BAO TRO XH-DU TOAN" xfId="1209" xr:uid="{00000000-0005-0000-0000-00000D060000}"/>
    <cellStyle name="_KT (2)_Book1_Book1_1_BD" xfId="1210" xr:uid="{00000000-0005-0000-0000-00000E060000}"/>
    <cellStyle name="_KT (2)_Book1_Book1_1_DI DOI TRUONG LE QUY DON-HC HOAN CONG" xfId="1211" xr:uid="{00000000-0005-0000-0000-00000F060000}"/>
    <cellStyle name="_KT (2)_Book1_Book1_1_DUONG DOI TAN HOI-NEW 21-8-2006" xfId="1212" xr:uid="{00000000-0005-0000-0000-000010060000}"/>
    <cellStyle name="_KT (2)_Book1_Book1_1_DUONG DOI THI XA-THU HOI-HC 2-3-07 xls" xfId="1213" xr:uid="{00000000-0005-0000-0000-000011060000}"/>
    <cellStyle name="_KT (2)_Book1_Book1_1_DUONG DOI THI XA-THU HOI-HC 2-3-07 xls_Song tra-750-tram nen" xfId="1214" xr:uid="{00000000-0005-0000-0000-000012060000}"/>
    <cellStyle name="_KT (2)_Book1_Book1_1_DUONG DOI THI XA-THU HOI-HC 2-3-07 xls_Song tra-750-tram nen 2" xfId="2985" xr:uid="{00000000-0005-0000-0000-000013060000}"/>
    <cellStyle name="_KT (2)_Book1_Book1_1_Gia cuoc van chuyen" xfId="1215" xr:uid="{00000000-0005-0000-0000-000014060000}"/>
    <cellStyle name="_KT (2)_Book1_Book1_1_Khu dan cu SO 2(TK BV-TC)-1" xfId="1216" xr:uid="{00000000-0005-0000-0000-000015060000}"/>
    <cellStyle name="_KT (2)_Book1_Book1_1_KHU DAN CU SUOI VANG" xfId="1217" xr:uid="{00000000-0005-0000-0000-000016060000}"/>
    <cellStyle name="_KT (2)_Book1_Book1_1_Khu TDC Phuoc Trung" xfId="1218" xr:uid="{00000000-0005-0000-0000-000017060000}"/>
    <cellStyle name="_KT (2)_Book1_Book1_1_Pham Van Thanh" xfId="1219" xr:uid="{00000000-0005-0000-0000-000018060000}"/>
    <cellStyle name="_KT (2)_Book1_Book1_1_Phuoc My Giai Doan 3-gia moi-14-10-uni" xfId="1220" xr:uid="{00000000-0005-0000-0000-000019060000}"/>
    <cellStyle name="_KT (2)_Book1_Book1_1_Song tra-750-tram nen" xfId="1221" xr:uid="{00000000-0005-0000-0000-00001A060000}"/>
    <cellStyle name="_KT (2)_Book1_Book1_1_Song tra-750-tram nen 2" xfId="2986" xr:uid="{00000000-0005-0000-0000-00001B060000}"/>
    <cellStyle name="_KT (2)_Book1_Book1_1_Thuan Bac-sua lai" xfId="1222" xr:uid="{00000000-0005-0000-0000-00001C060000}"/>
    <cellStyle name="_KT (2)_Book1_Book1_1_VKim" xfId="1223" xr:uid="{00000000-0005-0000-0000-00001D060000}"/>
    <cellStyle name="_KT (2)_Book1_Book1_2" xfId="1224" xr:uid="{00000000-0005-0000-0000-00001E060000}"/>
    <cellStyle name="_KT (2)_Book1_Book1_2 2" xfId="2987" xr:uid="{00000000-0005-0000-0000-00001F060000}"/>
    <cellStyle name="_KT (2)_Book1_Book1_BAO TRO XH-DU TOAN" xfId="1225" xr:uid="{00000000-0005-0000-0000-000020060000}"/>
    <cellStyle name="_KT (2)_Book1_Book1_BD" xfId="1226" xr:uid="{00000000-0005-0000-0000-000021060000}"/>
    <cellStyle name="_KT (2)_Book1_Book1_DI DOI TRUONG LE QUY DON-HC HOAN CONG" xfId="1227" xr:uid="{00000000-0005-0000-0000-000022060000}"/>
    <cellStyle name="_KT (2)_Book1_Book1_DUONG DOI TAN HOI-NEW 21-8-2006" xfId="1228" xr:uid="{00000000-0005-0000-0000-000023060000}"/>
    <cellStyle name="_KT (2)_Book1_Book1_DUONG DOI THI XA-THU HOI-HC 2-3-07 xls" xfId="1229" xr:uid="{00000000-0005-0000-0000-000024060000}"/>
    <cellStyle name="_KT (2)_Book1_Book1_DUONG DOI THI XA-THU HOI-HC 2-3-07 xls_Song tra-750-tram nen" xfId="1230" xr:uid="{00000000-0005-0000-0000-000025060000}"/>
    <cellStyle name="_KT (2)_Book1_Book1_DUONG DOI THI XA-THU HOI-HC 2-3-07 xls_Song tra-750-tram nen 2" xfId="2988" xr:uid="{00000000-0005-0000-0000-000026060000}"/>
    <cellStyle name="_KT (2)_Book1_Book1_Gia cuoc van chuyen" xfId="1231" xr:uid="{00000000-0005-0000-0000-000027060000}"/>
    <cellStyle name="_KT (2)_Book1_Book1_Khu dan cu SO 2(TK BV-TC)-1" xfId="1232" xr:uid="{00000000-0005-0000-0000-000028060000}"/>
    <cellStyle name="_KT (2)_Book1_Book1_KHU DAN CU SUOI VANG" xfId="1233" xr:uid="{00000000-0005-0000-0000-000029060000}"/>
    <cellStyle name="_KT (2)_Book1_Book1_Khu TDC Phuoc Trung" xfId="1234" xr:uid="{00000000-0005-0000-0000-00002A060000}"/>
    <cellStyle name="_KT (2)_Book1_Book1_Pham Van Thanh" xfId="1235" xr:uid="{00000000-0005-0000-0000-00002B060000}"/>
    <cellStyle name="_KT (2)_Book1_Book1_Phuoc My Giai Doan 3-gia moi-14-10-uni" xfId="1236" xr:uid="{00000000-0005-0000-0000-00002C060000}"/>
    <cellStyle name="_KT (2)_Book1_Book1_Song tra-750-tram nen" xfId="1237" xr:uid="{00000000-0005-0000-0000-00002D060000}"/>
    <cellStyle name="_KT (2)_Book1_Book1_Song tra-750-tram nen 2" xfId="2989" xr:uid="{00000000-0005-0000-0000-00002E060000}"/>
    <cellStyle name="_KT (2)_Book1_Book1_Thuan Bac-sua lai" xfId="1238" xr:uid="{00000000-0005-0000-0000-00002F060000}"/>
    <cellStyle name="_KT (2)_Book1_Book1_VKim" xfId="1239" xr:uid="{00000000-0005-0000-0000-000030060000}"/>
    <cellStyle name="_KT (2)_Book1_DI DOI TRUONG LE QUY DON-HC HOAN CONG" xfId="1240" xr:uid="{00000000-0005-0000-0000-000031060000}"/>
    <cellStyle name="_KT (2)_Book1_DT Ngoc Ha" xfId="1241" xr:uid="{00000000-0005-0000-0000-000032060000}"/>
    <cellStyle name="_KT (2)_Book1_DT Ngoc Ha_Song tra-750-tram nen" xfId="1242" xr:uid="{00000000-0005-0000-0000-000033060000}"/>
    <cellStyle name="_KT (2)_Book1_Du toan thay ong ep va da composite sua" xfId="3867" xr:uid="{00000000-0005-0000-0000-000034060000}"/>
    <cellStyle name="_KT (2)_Book1_DUONG DOI TAN HOI-NEW 21-8-2006" xfId="1243" xr:uid="{00000000-0005-0000-0000-000035060000}"/>
    <cellStyle name="_KT (2)_Book1_DUONG DOI THI XA-THU HOI-HC 2-3-07 xls" xfId="1244" xr:uid="{00000000-0005-0000-0000-000036060000}"/>
    <cellStyle name="_KT (2)_Book1_DUONG DOI THI XA-THU HOI-HC 2-3-07 xls_Song tra-750-tram nen" xfId="1245" xr:uid="{00000000-0005-0000-0000-000037060000}"/>
    <cellStyle name="_KT (2)_Book1_DUONG DOI THI XA-THU HOI-HC 2-3-07 xls_Song tra-750-tram nen 2" xfId="2990" xr:uid="{00000000-0005-0000-0000-000038060000}"/>
    <cellStyle name="_KT (2)_Book1_Dutoan NC 22 khu vuc san bay  09-2006moi" xfId="3868" xr:uid="{00000000-0005-0000-0000-000039060000}"/>
    <cellStyle name="_KT (2)_Book1_Gia cuoc van chuyen" xfId="1246" xr:uid="{00000000-0005-0000-0000-00003A060000}"/>
    <cellStyle name="_KT (2)_Book1_Khu dan cu SO 2(TK BV-TC)-1" xfId="1247" xr:uid="{00000000-0005-0000-0000-00003B060000}"/>
    <cellStyle name="_KT (2)_Book1_KHU DAN CU SUOI VANG" xfId="1248" xr:uid="{00000000-0005-0000-0000-00003C060000}"/>
    <cellStyle name="_KT (2)_Book1_Khu TDC Phuoc Trung" xfId="1249" xr:uid="{00000000-0005-0000-0000-00003D060000}"/>
    <cellStyle name="_KT (2)_Book1_MUOI TINH PHUOC MINH" xfId="1250" xr:uid="{00000000-0005-0000-0000-00003E060000}"/>
    <cellStyle name="_KT (2)_Book1_MUOI TINH PHUOC MINH_Song tra-750-tram nen" xfId="1251" xr:uid="{00000000-0005-0000-0000-00003F060000}"/>
    <cellStyle name="_KT (2)_Book1_Pham Van Thanh" xfId="1252" xr:uid="{00000000-0005-0000-0000-000040060000}"/>
    <cellStyle name="_KT (2)_Book1_Phuoc My Giai Doan 3-gia moi-14-10-uni" xfId="1253" xr:uid="{00000000-0005-0000-0000-000041060000}"/>
    <cellStyle name="_KT (2)_Book1_Song tra-750-tram nen" xfId="1254" xr:uid="{00000000-0005-0000-0000-000042060000}"/>
    <cellStyle name="_KT (2)_Book1_Song tra-750-tram nen 2" xfId="2991" xr:uid="{00000000-0005-0000-0000-000043060000}"/>
    <cellStyle name="_KT (2)_Book1_TDC Tan My" xfId="1255" xr:uid="{00000000-0005-0000-0000-000044060000}"/>
    <cellStyle name="_KT (2)_Book1_TDC Tan My_Song tra-750-tram nen" xfId="1256" xr:uid="{00000000-0005-0000-0000-000045060000}"/>
    <cellStyle name="_KT (2)_Book1_Thuan Bac-sua lai" xfId="1257" xr:uid="{00000000-0005-0000-0000-000046060000}"/>
    <cellStyle name="_KT (2)_Book1_Truong day nghe (20.1.06)" xfId="1258" xr:uid="{00000000-0005-0000-0000-000047060000}"/>
    <cellStyle name="_KT (2)_Book1_VKim" xfId="1259" xr:uid="{00000000-0005-0000-0000-000048060000}"/>
    <cellStyle name="_KT (2)_Dien Ke thon Phuoc Nhon 2" xfId="1260" xr:uid="{00000000-0005-0000-0000-000049060000}"/>
    <cellStyle name="_KT (2)_DM.NHANCONG" xfId="1261" xr:uid="{00000000-0005-0000-0000-00004A060000}"/>
    <cellStyle name="_KT (2)_DM.NHANCONG_Song tra-750-tram nen" xfId="1262" xr:uid="{00000000-0005-0000-0000-00004B060000}"/>
    <cellStyle name="_KT (2)_DM.NHANCONG_Song tra-750-tram nen 2" xfId="2992" xr:uid="{00000000-0005-0000-0000-00004C060000}"/>
    <cellStyle name="_KT (2)_DO GHI NINH HAI 2" xfId="3869" xr:uid="{00000000-0005-0000-0000-00004D060000}"/>
    <cellStyle name="_KT (2)_DT Ngoc Ha" xfId="1263" xr:uid="{00000000-0005-0000-0000-00004E060000}"/>
    <cellStyle name="_KT (2)_DT Ngoc Ha_Song tra-750-tram nen" xfId="1264" xr:uid="{00000000-0005-0000-0000-00004F060000}"/>
    <cellStyle name="_KT (2)_DT Ngoc Ha_Song tra-750-tram nen 2" xfId="2993" xr:uid="{00000000-0005-0000-0000-000050060000}"/>
    <cellStyle name="_KT (2)_Du toan thay ong ep va da composite sua" xfId="3870" xr:uid="{00000000-0005-0000-0000-000051060000}"/>
    <cellStyle name="_KT (2)_Du toan tram GDEN2 giai doan 2" xfId="1265" xr:uid="{00000000-0005-0000-0000-000052060000}"/>
    <cellStyle name="_KT (2)_Du toan tram PHUOC NHON 2 giai doan 2" xfId="1266" xr:uid="{00000000-0005-0000-0000-000053060000}"/>
    <cellStyle name="_KT (2)_Dutoan NC 22 khu vuc san bay  09-2006moi" xfId="3871" xr:uid="{00000000-0005-0000-0000-000054060000}"/>
    <cellStyle name="_KT (2)_DUTOAN_DAMDOI_PD1" xfId="1267" xr:uid="{00000000-0005-0000-0000-000055060000}"/>
    <cellStyle name="_KT (2)_DUTOAN_DAMDOI_PD1_Song tra-750-tram nen" xfId="1268" xr:uid="{00000000-0005-0000-0000-000056060000}"/>
    <cellStyle name="_KT (2)_DUTOAN_DAMDOI_PD1_Song tra-750-tram nen 2" xfId="2994" xr:uid="{00000000-0005-0000-0000-000057060000}"/>
    <cellStyle name="_KT (2)_KHU DAN CU SUOI VANG" xfId="1269" xr:uid="{00000000-0005-0000-0000-000058060000}"/>
    <cellStyle name="_KT (2)_Khu dan cu Thap Cham 1 (TK BV-TC)-2-HC LAN 1" xfId="1270" xr:uid="{00000000-0005-0000-0000-000059060000}"/>
    <cellStyle name="_KT (2)_Khu TDC Phuoc Trung" xfId="1271" xr:uid="{00000000-0005-0000-0000-00005A060000}"/>
    <cellStyle name="_KT (2)_Khu TDC Phuoc Trung_Song tra-750-tram nen" xfId="1272" xr:uid="{00000000-0005-0000-0000-00005B060000}"/>
    <cellStyle name="_KT (2)_Khu TDC Phuoc Trung_Song tra-750-tram nen 2" xfId="2995" xr:uid="{00000000-0005-0000-0000-00005C060000}"/>
    <cellStyle name="_KT (2)_KINH DOANH_ SCL 2015" xfId="3872" xr:uid="{00000000-0005-0000-0000-00005D060000}"/>
    <cellStyle name="_KT (2)_Lora-tungchau" xfId="1273" xr:uid="{00000000-0005-0000-0000-00005E060000}"/>
    <cellStyle name="_KT (2)_Lora-tungchau_6.BANG CHI TIET" xfId="1274" xr:uid="{00000000-0005-0000-0000-00005F060000}"/>
    <cellStyle name="_KT (2)_Lora-tungchau_BAO TRO XH-DU TOAN" xfId="1275" xr:uid="{00000000-0005-0000-0000-000060060000}"/>
    <cellStyle name="_KT (2)_Lora-tungchau_BD" xfId="1276" xr:uid="{00000000-0005-0000-0000-000061060000}"/>
    <cellStyle name="_KT (2)_Lora-tungchau_DM.NHANCONG" xfId="1277" xr:uid="{00000000-0005-0000-0000-000062060000}"/>
    <cellStyle name="_KT (2)_Lora-tungchau_DM.NHANCONG_Song tra-750-tram nen" xfId="1278" xr:uid="{00000000-0005-0000-0000-000063060000}"/>
    <cellStyle name="_KT (2)_Lora-tungchau_DM.NHANCONG_Song tra-750-tram nen 2" xfId="2996" xr:uid="{00000000-0005-0000-0000-000064060000}"/>
    <cellStyle name="_KT (2)_Lora-tungchau_DUONG DOI TAN HOI-NEW 21-8-2006" xfId="1279" xr:uid="{00000000-0005-0000-0000-000065060000}"/>
    <cellStyle name="_KT (2)_Lora-tungchau_Gia cuoc van chuyen" xfId="1280" xr:uid="{00000000-0005-0000-0000-000066060000}"/>
    <cellStyle name="_KT (2)_Lora-tungchau_Khu dan cu SO 2(TK BV-TC)-1" xfId="1281" xr:uid="{00000000-0005-0000-0000-000067060000}"/>
    <cellStyle name="_KT (2)_Lora-tungchau_LTRI- TDINH" xfId="1282" xr:uid="{00000000-0005-0000-0000-000068060000}"/>
    <cellStyle name="_KT (2)_Lora-tungchau_Pham Van Thanh" xfId="1283" xr:uid="{00000000-0005-0000-0000-000069060000}"/>
    <cellStyle name="_KT (2)_Lora-tungchau_Phuoc My Giai Doan 3-gia moi-14-10-uni" xfId="1284" xr:uid="{00000000-0005-0000-0000-00006A060000}"/>
    <cellStyle name="_KT (2)_Lora-tungchau_Song tra-750-tram nen" xfId="1285" xr:uid="{00000000-0005-0000-0000-00006B060000}"/>
    <cellStyle name="_KT (2)_Lora-tungchau_Song tra-750-tram nen 2" xfId="2997" xr:uid="{00000000-0005-0000-0000-00006C060000}"/>
    <cellStyle name="_KT (2)_Lora-tungchau_Thuan Bac-sua lai" xfId="1286" xr:uid="{00000000-0005-0000-0000-00006D060000}"/>
    <cellStyle name="_KT (2)_Lora-tungchau_VKim" xfId="1287" xr:uid="{00000000-0005-0000-0000-00006E060000}"/>
    <cellStyle name="_KT (2)_MUOI TINH PHUOC MINH" xfId="1288" xr:uid="{00000000-0005-0000-0000-00006F060000}"/>
    <cellStyle name="_KT (2)_MUOI TINH PHUOC MINH_Song tra-750-tram nen" xfId="1289" xr:uid="{00000000-0005-0000-0000-000070060000}"/>
    <cellStyle name="_KT (2)_MUOI TINH PHUOC MINH_Song tra-750-tram nen 2" xfId="2998" xr:uid="{00000000-0005-0000-0000-000071060000}"/>
    <cellStyle name="_KT (2)_PERSONAL" xfId="1290" xr:uid="{00000000-0005-0000-0000-000072060000}"/>
    <cellStyle name="_KT (2)_PERSONAL_Book1" xfId="1291" xr:uid="{00000000-0005-0000-0000-000073060000}"/>
    <cellStyle name="_KT (2)_PERSONAL_Book1_06 Thuy san Ninh Phuoc (luu 21-06)" xfId="1292" xr:uid="{00000000-0005-0000-0000-000074060000}"/>
    <cellStyle name="_KT (2)_PERSONAL_Book1_1" xfId="1293" xr:uid="{00000000-0005-0000-0000-000075060000}"/>
    <cellStyle name="_KT (2)_PERSONAL_Book1_1_Song tra-750-tram nen" xfId="1294" xr:uid="{00000000-0005-0000-0000-000076060000}"/>
    <cellStyle name="_KT (2)_PERSONAL_Book1_BAO TRO XH-DU TOAN" xfId="1295" xr:uid="{00000000-0005-0000-0000-000077060000}"/>
    <cellStyle name="_KT (2)_PERSONAL_Book1_BD" xfId="1296" xr:uid="{00000000-0005-0000-0000-000078060000}"/>
    <cellStyle name="_KT (2)_PERSONAL_Book1_Book1" xfId="1297" xr:uid="{00000000-0005-0000-0000-000079060000}"/>
    <cellStyle name="_KT (2)_PERSONAL_Book1_Book1_Song tra-750-tram nen" xfId="1298" xr:uid="{00000000-0005-0000-0000-00007A060000}"/>
    <cellStyle name="_KT (2)_PERSONAL_Book1_Book1_Song tra-750-tram nen 2" xfId="2999" xr:uid="{00000000-0005-0000-0000-00007B060000}"/>
    <cellStyle name="_KT (2)_PERSONAL_Book1_DI DOI TRUONG LE QUY DON-HC HOAN CONG" xfId="1299" xr:uid="{00000000-0005-0000-0000-00007C060000}"/>
    <cellStyle name="_KT (2)_PERSONAL_Book1_DUONG DOI TAN HOI-NEW 21-8-2006" xfId="1300" xr:uid="{00000000-0005-0000-0000-00007D060000}"/>
    <cellStyle name="_KT (2)_PERSONAL_Book1_DUONG DOI THI XA-THU HOI-HC 2-3-07 xls" xfId="1301" xr:uid="{00000000-0005-0000-0000-00007E060000}"/>
    <cellStyle name="_KT (2)_PERSONAL_Book1_DUONG DOI THI XA-THU HOI-HC 2-3-07 xls_Song tra-750-tram nen" xfId="1302" xr:uid="{00000000-0005-0000-0000-00007F060000}"/>
    <cellStyle name="_KT (2)_PERSONAL_Book1_DUONG DOI THI XA-THU HOI-HC 2-3-07 xls_Song tra-750-tram nen 2" xfId="3000" xr:uid="{00000000-0005-0000-0000-000080060000}"/>
    <cellStyle name="_KT (2)_PERSONAL_Book1_Gia cuoc van chuyen" xfId="1303" xr:uid="{00000000-0005-0000-0000-000081060000}"/>
    <cellStyle name="_KT (2)_PERSONAL_Book1_Khu dan cu SO 2(TK BV-TC)-1" xfId="1304" xr:uid="{00000000-0005-0000-0000-000082060000}"/>
    <cellStyle name="_KT (2)_PERSONAL_Book1_KHU DAN CU SUOI VANG" xfId="1305" xr:uid="{00000000-0005-0000-0000-000083060000}"/>
    <cellStyle name="_KT (2)_PERSONAL_Book1_Khu TDC Phuoc Trung" xfId="1306" xr:uid="{00000000-0005-0000-0000-000084060000}"/>
    <cellStyle name="_KT (2)_PERSONAL_Book1_Pham Van Thanh" xfId="1307" xr:uid="{00000000-0005-0000-0000-000085060000}"/>
    <cellStyle name="_KT (2)_PERSONAL_Book1_Phuoc My Giai Doan 3-gia moi-14-10-uni" xfId="1308" xr:uid="{00000000-0005-0000-0000-000086060000}"/>
    <cellStyle name="_KT (2)_PERSONAL_Book1_Song tra-750-tram nen" xfId="1309" xr:uid="{00000000-0005-0000-0000-000087060000}"/>
    <cellStyle name="_KT (2)_PERSONAL_Book1_Song tra-750-tram nen 2" xfId="3001" xr:uid="{00000000-0005-0000-0000-000088060000}"/>
    <cellStyle name="_KT (2)_PERSONAL_Book1_Thuan Bac-sua lai" xfId="1310" xr:uid="{00000000-0005-0000-0000-000089060000}"/>
    <cellStyle name="_KT (2)_PERSONAL_Book1_VKim" xfId="1311" xr:uid="{00000000-0005-0000-0000-00008A060000}"/>
    <cellStyle name="_KT (2)_PERSONAL_HTQ.8 GD1" xfId="1312" xr:uid="{00000000-0005-0000-0000-00008B060000}"/>
    <cellStyle name="_KT (2)_PERSONAL_HTQ.8 GD1_06 Thuy san Ninh Phuoc (luu 21-06)" xfId="1313" xr:uid="{00000000-0005-0000-0000-00008C060000}"/>
    <cellStyle name="_KT (2)_PERSONAL_HTQ.8 GD1_BAO TRO XH-DU TOAN" xfId="1314" xr:uid="{00000000-0005-0000-0000-00008D060000}"/>
    <cellStyle name="_KT (2)_PERSONAL_HTQ.8 GD1_BD" xfId="1315" xr:uid="{00000000-0005-0000-0000-00008E060000}"/>
    <cellStyle name="_KT (2)_PERSONAL_HTQ.8 GD1_DI DOI TRUONG LE QUY DON-HC HOAN CONG" xfId="1316" xr:uid="{00000000-0005-0000-0000-00008F060000}"/>
    <cellStyle name="_KT (2)_PERSONAL_HTQ.8 GD1_DUONG DOI TAN HOI-NEW 21-8-2006" xfId="1317" xr:uid="{00000000-0005-0000-0000-000090060000}"/>
    <cellStyle name="_KT (2)_PERSONAL_HTQ.8 GD1_DUONG DOI THI XA-THU HOI-HC 2-3-07 xls" xfId="1318" xr:uid="{00000000-0005-0000-0000-000091060000}"/>
    <cellStyle name="_KT (2)_PERSONAL_HTQ.8 GD1_DUONG DOI THI XA-THU HOI-HC 2-3-07 xls_Song tra-750-tram nen" xfId="1319" xr:uid="{00000000-0005-0000-0000-000092060000}"/>
    <cellStyle name="_KT (2)_PERSONAL_HTQ.8 GD1_DUONG DOI THI XA-THU HOI-HC 2-3-07 xls_Song tra-750-tram nen 2" xfId="3002" xr:uid="{00000000-0005-0000-0000-000093060000}"/>
    <cellStyle name="_KT (2)_PERSONAL_HTQ.8 GD1_Gia cuoc van chuyen" xfId="1320" xr:uid="{00000000-0005-0000-0000-000094060000}"/>
    <cellStyle name="_KT (2)_PERSONAL_HTQ.8 GD1_Khu dan cu SO 2(TK BV-TC)-1" xfId="1321" xr:uid="{00000000-0005-0000-0000-000095060000}"/>
    <cellStyle name="_KT (2)_PERSONAL_HTQ.8 GD1_KHU DAN CU SUOI VANG" xfId="1322" xr:uid="{00000000-0005-0000-0000-000096060000}"/>
    <cellStyle name="_KT (2)_PERSONAL_HTQ.8 GD1_Khu TDC Phuoc Trung" xfId="1323" xr:uid="{00000000-0005-0000-0000-000097060000}"/>
    <cellStyle name="_KT (2)_PERSONAL_HTQ.8 GD1_Pham Van Thanh" xfId="1324" xr:uid="{00000000-0005-0000-0000-000098060000}"/>
    <cellStyle name="_KT (2)_PERSONAL_HTQ.8 GD1_Phuoc My Giai Doan 3-gia moi-14-10-uni" xfId="1325" xr:uid="{00000000-0005-0000-0000-000099060000}"/>
    <cellStyle name="_KT (2)_PERSONAL_HTQ.8 GD1_Song tra-750-tram nen" xfId="1326" xr:uid="{00000000-0005-0000-0000-00009A060000}"/>
    <cellStyle name="_KT (2)_PERSONAL_HTQ.8 GD1_Song tra-750-tram nen 2" xfId="3003" xr:uid="{00000000-0005-0000-0000-00009B060000}"/>
    <cellStyle name="_KT (2)_PERSONAL_HTQ.8 GD1_Thuan Bac-sua lai" xfId="1327" xr:uid="{00000000-0005-0000-0000-00009C060000}"/>
    <cellStyle name="_KT (2)_PERSONAL_HTQ.8 GD1_VKim" xfId="1328" xr:uid="{00000000-0005-0000-0000-00009D060000}"/>
    <cellStyle name="_KT (2)_PERSONAL_Song tra-750-tram nen" xfId="1329" xr:uid="{00000000-0005-0000-0000-00009E060000}"/>
    <cellStyle name="_KT (2)_PERSONAL_Song tra-750-tram nen 2" xfId="3004" xr:uid="{00000000-0005-0000-0000-00009F060000}"/>
    <cellStyle name="_KT (2)_PERSONAL_THG" xfId="1330" xr:uid="{00000000-0005-0000-0000-0000A0060000}"/>
    <cellStyle name="_KT (2)_PERSONAL_THG_Song tra-750-tram nen" xfId="1331" xr:uid="{00000000-0005-0000-0000-0000A1060000}"/>
    <cellStyle name="_KT (2)_PERSONAL_Tong hop KHCB 2001" xfId="1332" xr:uid="{00000000-0005-0000-0000-0000A2060000}"/>
    <cellStyle name="_KT (2)_PERSONAL_Tong hop KHCB 2001_Song tra-750-tram nen" xfId="1333" xr:uid="{00000000-0005-0000-0000-0000A3060000}"/>
    <cellStyle name="_KT (2)_PERSONAL_Tong hop KHCB 2001_Song tra-750-tram nen 2" xfId="3005" xr:uid="{00000000-0005-0000-0000-0000A4060000}"/>
    <cellStyle name="_KT (2)_PHUOC HUU" xfId="1334" xr:uid="{00000000-0005-0000-0000-0000A5060000}"/>
    <cellStyle name="_KT (2)_PHUOC HUU_Song tra-750-tram nen" xfId="1335" xr:uid="{00000000-0005-0000-0000-0000A6060000}"/>
    <cellStyle name="_KT (2)_PHUOC HUU_Song tra-750-tram nen 2" xfId="3006" xr:uid="{00000000-0005-0000-0000-0000A7060000}"/>
    <cellStyle name="_KT (2)_Qt-HT3PQ1(CauKho)" xfId="1336" xr:uid="{00000000-0005-0000-0000-0000A8060000}"/>
    <cellStyle name="_KT (2)_Qt-HT3PQ1(CauKho)_Song tra-750-tram nen" xfId="1337" xr:uid="{00000000-0005-0000-0000-0000A9060000}"/>
    <cellStyle name="_KT (2)_Qt-HT3PQ1(CauKho)_Song tra-750-tram nen 2" xfId="3007" xr:uid="{00000000-0005-0000-0000-0000AA060000}"/>
    <cellStyle name="_KT (2)_SCL 07-Phuoc Hau-unicod" xfId="1338" xr:uid="{00000000-0005-0000-0000-0000AB060000}"/>
    <cellStyle name="_KT (2)_SCL tram GO DEN - GO THAO" xfId="1339" xr:uid="{00000000-0005-0000-0000-0000AC060000}"/>
    <cellStyle name="_KT (2)_SO TRU TRUNG AP SCL GUI ANH PHUONG" xfId="3873" xr:uid="{00000000-0005-0000-0000-0000AD060000}"/>
    <cellStyle name="_KT (2)_Song tra-750-tram nen" xfId="1340" xr:uid="{00000000-0005-0000-0000-0000AE060000}"/>
    <cellStyle name="_KT (2)_Song tra-750-tram nen 2" xfId="3008" xr:uid="{00000000-0005-0000-0000-0000AF060000}"/>
    <cellStyle name="_KT (2)_sua chua lon Thao 1" xfId="3874" xr:uid="{00000000-0005-0000-0000-0000B0060000}"/>
    <cellStyle name="_KT (2)_TDC Tan My" xfId="1341" xr:uid="{00000000-0005-0000-0000-0000B1060000}"/>
    <cellStyle name="_KT (2)_TDC Tan My_Song tra-750-tram nen" xfId="1342" xr:uid="{00000000-0005-0000-0000-0000B2060000}"/>
    <cellStyle name="_KT (2)_TDC Tan My_Song tra-750-tram nen 2" xfId="3009" xr:uid="{00000000-0005-0000-0000-0000B3060000}"/>
    <cellStyle name="_KT (2)_TDT-MAU2" xfId="1343" xr:uid="{00000000-0005-0000-0000-0000B4060000}"/>
    <cellStyle name="_KT (2)_TDT-MAU2_Song tra-750-tram nen" xfId="1344" xr:uid="{00000000-0005-0000-0000-0000B5060000}"/>
    <cellStyle name="_KT (2)_TDT-MAU2_Song tra-750-tram nen 2" xfId="3010" xr:uid="{00000000-0005-0000-0000-0000B6060000}"/>
    <cellStyle name="_KT (2)_TG-TH" xfId="1345" xr:uid="{00000000-0005-0000-0000-0000B7060000}"/>
    <cellStyle name="_KT (2)_TG-TH_Du toan thay ong ep va da composite sua" xfId="3875" xr:uid="{00000000-0005-0000-0000-0000B8060000}"/>
    <cellStyle name="_KT (2)_TG-TH_Song tra-750-tram nen" xfId="1346" xr:uid="{00000000-0005-0000-0000-0000B9060000}"/>
    <cellStyle name="_KT (2)_TONG KE GO DEN-GO THAO" xfId="1347" xr:uid="{00000000-0005-0000-0000-0000BA060000}"/>
    <cellStyle name="_KT (2)_Tong ke SCL bo sung 2007" xfId="1348" xr:uid="{00000000-0005-0000-0000-0000BB060000}"/>
    <cellStyle name="_KT (2)_Tong ke sua chua DZ dke (xoa tong gd 2)-NLam 2 -Vtu" xfId="1349" xr:uid="{00000000-0005-0000-0000-0000BC060000}"/>
    <cellStyle name="_KT (2)_Tong ke sua chua DZ dke (xoa tong gd 2)-NLam-Vtu" xfId="1350" xr:uid="{00000000-0005-0000-0000-0000BD060000}"/>
    <cellStyle name="_KT (2)_Tong ke sua chua DZ dke (xoa tong gd 2)-VLam 1" xfId="1351" xr:uid="{00000000-0005-0000-0000-0000BE060000}"/>
    <cellStyle name="_KT (2)_Tong ke sua chua DZ dke (xoa tong gd 2)-VLam 2" xfId="1352" xr:uid="{00000000-0005-0000-0000-0000BF060000}"/>
    <cellStyle name="_KT (2)_Truong day nghe (20.1.06)" xfId="1353" xr:uid="{00000000-0005-0000-0000-0000C0060000}"/>
    <cellStyle name="_KT (2)_Truong day nghe (20.1.06) 2" xfId="3011" xr:uid="{00000000-0005-0000-0000-0000C1060000}"/>
    <cellStyle name="_KT_TG" xfId="1354" xr:uid="{00000000-0005-0000-0000-0000C2060000}"/>
    <cellStyle name="_KT_TG_1" xfId="1355" xr:uid="{00000000-0005-0000-0000-0000C3060000}"/>
    <cellStyle name="_KT_TG_1_06 Muoi Tri Hai" xfId="1356" xr:uid="{00000000-0005-0000-0000-0000C4060000}"/>
    <cellStyle name="_KT_TG_1_06-scl-PHUOC HAI.HIEU CHINH-lan 2-09-12-05xls" xfId="1357" xr:uid="{00000000-0005-0000-0000-0000C5060000}"/>
    <cellStyle name="_KT_TG_1_07-PHUOC HA.XLS-1" xfId="1358" xr:uid="{00000000-0005-0000-0000-0000C6060000}"/>
    <cellStyle name="_KT_TG_1_07-PHUOC HA.XLS-1_Song tra-750-tram nen" xfId="1359" xr:uid="{00000000-0005-0000-0000-0000C7060000}"/>
    <cellStyle name="_KT_TG_1_07-PHUOC HA.XLS-1_Song tra-750-tram nen 2" xfId="3012" xr:uid="{00000000-0005-0000-0000-0000C8060000}"/>
    <cellStyle name="_KT_TG_1_07-scl ninh hai 31-05" xfId="3876" xr:uid="{00000000-0005-0000-0000-0000C9060000}"/>
    <cellStyle name="_KT_TG_1_6.BANG CHI TIET" xfId="1360" xr:uid="{00000000-0005-0000-0000-0000CA060000}"/>
    <cellStyle name="_KT_TG_1_BANG SO SANH NHAN CONG SC MBA DUYET" xfId="1361" xr:uid="{00000000-0005-0000-0000-0000CB060000}"/>
    <cellStyle name="_KT_TG_1_BAO CAO KLCT PT2000" xfId="1362" xr:uid="{00000000-0005-0000-0000-0000CC060000}"/>
    <cellStyle name="_KT_TG_1_BAO CAO KLCT PT2000_Song tra-750-tram nen" xfId="1363" xr:uid="{00000000-0005-0000-0000-0000CD060000}"/>
    <cellStyle name="_KT_TG_1_BAO CAO KLCT PT2000_Song tra-750-tram nen 2" xfId="3013" xr:uid="{00000000-0005-0000-0000-0000CE060000}"/>
    <cellStyle name="_KT_TG_1_BAO CAO PT2000" xfId="1364" xr:uid="{00000000-0005-0000-0000-0000CF060000}"/>
    <cellStyle name="_KT_TG_1_BAO CAO PT2000_Book1" xfId="1365" xr:uid="{00000000-0005-0000-0000-0000D0060000}"/>
    <cellStyle name="_KT_TG_1_BAO CAO PT2000_Book1_Song tra-750-tram nen" xfId="1366" xr:uid="{00000000-0005-0000-0000-0000D1060000}"/>
    <cellStyle name="_KT_TG_1_BAO CAO PT2000_Book1_Song tra-750-tram nen 2" xfId="3014" xr:uid="{00000000-0005-0000-0000-0000D2060000}"/>
    <cellStyle name="_KT_TG_1_BAO CAO PT2000_DT Ngoc Ha" xfId="1367" xr:uid="{00000000-0005-0000-0000-0000D3060000}"/>
    <cellStyle name="_KT_TG_1_BAO CAO PT2000_DT Ngoc Ha_Song tra-750-tram nen" xfId="1368" xr:uid="{00000000-0005-0000-0000-0000D4060000}"/>
    <cellStyle name="_KT_TG_1_BAO CAO PT2000_DT Ngoc Ha_Song tra-750-tram nen 2" xfId="3015" xr:uid="{00000000-0005-0000-0000-0000D5060000}"/>
    <cellStyle name="_KT_TG_1_BAO CAO PT2000_MUOI TINH PHUOC MINH" xfId="1369" xr:uid="{00000000-0005-0000-0000-0000D6060000}"/>
    <cellStyle name="_KT_TG_1_BAO CAO PT2000_MUOI TINH PHUOC MINH_Song tra-750-tram nen" xfId="1370" xr:uid="{00000000-0005-0000-0000-0000D7060000}"/>
    <cellStyle name="_KT_TG_1_BAO CAO PT2000_MUOI TINH PHUOC MINH_Song tra-750-tram nen 2" xfId="3016" xr:uid="{00000000-0005-0000-0000-0000D8060000}"/>
    <cellStyle name="_KT_TG_1_BAO CAO PT2000_Song tra-750-tram nen" xfId="1371" xr:uid="{00000000-0005-0000-0000-0000D9060000}"/>
    <cellStyle name="_KT_TG_1_BAO CAO PT2000_Song tra-750-tram nen 2" xfId="3017" xr:uid="{00000000-0005-0000-0000-0000DA060000}"/>
    <cellStyle name="_KT_TG_1_BAO CAO PT2000_TDC Tan My" xfId="1372" xr:uid="{00000000-0005-0000-0000-0000DB060000}"/>
    <cellStyle name="_KT_TG_1_BAO CAO PT2000_TDC Tan My_Song tra-750-tram nen" xfId="1373" xr:uid="{00000000-0005-0000-0000-0000DC060000}"/>
    <cellStyle name="_KT_TG_1_BAO CAO PT2000_TDC Tan My_Song tra-750-tram nen 2" xfId="3018" xr:uid="{00000000-0005-0000-0000-0000DD060000}"/>
    <cellStyle name="_KT_TG_1_BAO CAO PT2000_trinh bao gia" xfId="1374" xr:uid="{00000000-0005-0000-0000-0000DE060000}"/>
    <cellStyle name="_KT_TG_1_BAO CAO PT2000_trinh bao gia_06 Thuy san Ninh Phuoc (luu 21-06)" xfId="1375" xr:uid="{00000000-0005-0000-0000-0000DF060000}"/>
    <cellStyle name="_KT_TG_1_BAO CAO PT2000_trinh bao gia_BAO TRO XH-DU TOAN" xfId="1376" xr:uid="{00000000-0005-0000-0000-0000E0060000}"/>
    <cellStyle name="_KT_TG_1_BAO CAO PT2000_trinh bao gia_BD" xfId="1377" xr:uid="{00000000-0005-0000-0000-0000E1060000}"/>
    <cellStyle name="_KT_TG_1_BAO CAO PT2000_trinh bao gia_DI DOI TRUONG LE QUY DON-HC HOAN CONG" xfId="1378" xr:uid="{00000000-0005-0000-0000-0000E2060000}"/>
    <cellStyle name="_KT_TG_1_BAO CAO PT2000_trinh bao gia_DUONG DOI TAN HOI-NEW 21-8-2006" xfId="1379" xr:uid="{00000000-0005-0000-0000-0000E3060000}"/>
    <cellStyle name="_KT_TG_1_BAO CAO PT2000_trinh bao gia_DUONG DOI THI XA-THU HOI-HC 2-3-07 xls" xfId="1380" xr:uid="{00000000-0005-0000-0000-0000E4060000}"/>
    <cellStyle name="_KT_TG_1_BAO CAO PT2000_trinh bao gia_DUONG DOI THI XA-THU HOI-HC 2-3-07 xls_Song tra-750-tram nen" xfId="1381" xr:uid="{00000000-0005-0000-0000-0000E5060000}"/>
    <cellStyle name="_KT_TG_1_BAO CAO PT2000_trinh bao gia_DUONG DOI THI XA-THU HOI-HC 2-3-07 xls_Song tra-750-tram nen 2" xfId="3019" xr:uid="{00000000-0005-0000-0000-0000E6060000}"/>
    <cellStyle name="_KT_TG_1_BAO CAO PT2000_trinh bao gia_Gia cuoc van chuyen" xfId="1382" xr:uid="{00000000-0005-0000-0000-0000E7060000}"/>
    <cellStyle name="_KT_TG_1_BAO CAO PT2000_trinh bao gia_Khu dan cu SO 2(TK BV-TC)-1" xfId="1383" xr:uid="{00000000-0005-0000-0000-0000E8060000}"/>
    <cellStyle name="_KT_TG_1_BAO CAO PT2000_trinh bao gia_KHU DAN CU SUOI VANG" xfId="1384" xr:uid="{00000000-0005-0000-0000-0000E9060000}"/>
    <cellStyle name="_KT_TG_1_BAO CAO PT2000_trinh bao gia_Khu TDC Phuoc Trung" xfId="1385" xr:uid="{00000000-0005-0000-0000-0000EA060000}"/>
    <cellStyle name="_KT_TG_1_BAO CAO PT2000_trinh bao gia_Pham Van Thanh" xfId="1386" xr:uid="{00000000-0005-0000-0000-0000EB060000}"/>
    <cellStyle name="_KT_TG_1_BAO CAO PT2000_trinh bao gia_Phuoc My Giai Doan 3-gia moi-14-10-uni" xfId="1387" xr:uid="{00000000-0005-0000-0000-0000EC060000}"/>
    <cellStyle name="_KT_TG_1_BAO CAO PT2000_trinh bao gia_Song tra-750-tram nen" xfId="1388" xr:uid="{00000000-0005-0000-0000-0000ED060000}"/>
    <cellStyle name="_KT_TG_1_BAO CAO PT2000_trinh bao gia_Song tra-750-tram nen 2" xfId="3020" xr:uid="{00000000-0005-0000-0000-0000EE060000}"/>
    <cellStyle name="_KT_TG_1_BAO CAO PT2000_trinh bao gia_Thuan Bac-sua lai" xfId="1389" xr:uid="{00000000-0005-0000-0000-0000EF060000}"/>
    <cellStyle name="_KT_TG_1_BAO CAO PT2000_trinh bao gia_VKim" xfId="1390" xr:uid="{00000000-0005-0000-0000-0000F0060000}"/>
    <cellStyle name="_KT_TG_1_BAO CAO PT2000_Truong day nghe (20.1.06)" xfId="1391" xr:uid="{00000000-0005-0000-0000-0000F1060000}"/>
    <cellStyle name="_KT_TG_1_BAO CAO PT2000_Truong day nghe (20.1.06) 2" xfId="3021" xr:uid="{00000000-0005-0000-0000-0000F2060000}"/>
    <cellStyle name="_KT_TG_1_Bao cao XDCB 2001 - T11 KH dieu chinh 20-11-THAI" xfId="1392" xr:uid="{00000000-0005-0000-0000-0000F3060000}"/>
    <cellStyle name="_KT_TG_1_Bao cao XDCB 2001 - T11 KH dieu chinh 20-11-THAI_Book1" xfId="1393" xr:uid="{00000000-0005-0000-0000-0000F4060000}"/>
    <cellStyle name="_KT_TG_1_Bao cao XDCB 2001 - T11 KH dieu chinh 20-11-THAI_Book1_Song tra-750-tram nen" xfId="1394" xr:uid="{00000000-0005-0000-0000-0000F5060000}"/>
    <cellStyle name="_KT_TG_1_Bao cao XDCB 2001 - T11 KH dieu chinh 20-11-THAI_Book1_Song tra-750-tram nen 2" xfId="3022" xr:uid="{00000000-0005-0000-0000-0000F6060000}"/>
    <cellStyle name="_KT_TG_1_Bao cao XDCB 2001 - T11 KH dieu chinh 20-11-THAI_DT Ngoc Ha" xfId="1395" xr:uid="{00000000-0005-0000-0000-0000F7060000}"/>
    <cellStyle name="_KT_TG_1_Bao cao XDCB 2001 - T11 KH dieu chinh 20-11-THAI_DT Ngoc Ha_Song tra-750-tram nen" xfId="1396" xr:uid="{00000000-0005-0000-0000-0000F8060000}"/>
    <cellStyle name="_KT_TG_1_Bao cao XDCB 2001 - T11 KH dieu chinh 20-11-THAI_DT Ngoc Ha_Song tra-750-tram nen 2" xfId="3023" xr:uid="{00000000-0005-0000-0000-0000F9060000}"/>
    <cellStyle name="_KT_TG_1_Bao cao XDCB 2001 - T11 KH dieu chinh 20-11-THAI_MUOI TINH PHUOC MINH" xfId="1397" xr:uid="{00000000-0005-0000-0000-0000FA060000}"/>
    <cellStyle name="_KT_TG_1_Bao cao XDCB 2001 - T11 KH dieu chinh 20-11-THAI_MUOI TINH PHUOC MINH_Song tra-750-tram nen" xfId="1398" xr:uid="{00000000-0005-0000-0000-0000FB060000}"/>
    <cellStyle name="_KT_TG_1_Bao cao XDCB 2001 - T11 KH dieu chinh 20-11-THAI_MUOI TINH PHUOC MINH_Song tra-750-tram nen 2" xfId="3024" xr:uid="{00000000-0005-0000-0000-0000FC060000}"/>
    <cellStyle name="_KT_TG_1_Bao cao XDCB 2001 - T11 KH dieu chinh 20-11-THAI_Song tra-750-tram nen" xfId="1399" xr:uid="{00000000-0005-0000-0000-0000FD060000}"/>
    <cellStyle name="_KT_TG_1_Bao cao XDCB 2001 - T11 KH dieu chinh 20-11-THAI_Song tra-750-tram nen 2" xfId="3025" xr:uid="{00000000-0005-0000-0000-0000FE060000}"/>
    <cellStyle name="_KT_TG_1_Bao cao XDCB 2001 - T11 KH dieu chinh 20-11-THAI_TDC Tan My" xfId="1400" xr:uid="{00000000-0005-0000-0000-0000FF060000}"/>
    <cellStyle name="_KT_TG_1_Bao cao XDCB 2001 - T11 KH dieu chinh 20-11-THAI_TDC Tan My_Song tra-750-tram nen" xfId="1401" xr:uid="{00000000-0005-0000-0000-000000070000}"/>
    <cellStyle name="_KT_TG_1_Bao cao XDCB 2001 - T11 KH dieu chinh 20-11-THAI_TDC Tan My_Song tra-750-tram nen 2" xfId="3026" xr:uid="{00000000-0005-0000-0000-000001070000}"/>
    <cellStyle name="_KT_TG_1_Bao cao XDCB 2001 - T11 KH dieu chinh 20-11-THAI_trinh bao gia" xfId="1402" xr:uid="{00000000-0005-0000-0000-000002070000}"/>
    <cellStyle name="_KT_TG_1_Bao cao XDCB 2001 - T11 KH dieu chinh 20-11-THAI_trinh bao gia_06 Thuy san Ninh Phuoc (luu 21-06)" xfId="1403" xr:uid="{00000000-0005-0000-0000-000003070000}"/>
    <cellStyle name="_KT_TG_1_Bao cao XDCB 2001 - T11 KH dieu chinh 20-11-THAI_trinh bao gia_BAO TRO XH-DU TOAN" xfId="1404" xr:uid="{00000000-0005-0000-0000-000004070000}"/>
    <cellStyle name="_KT_TG_1_Bao cao XDCB 2001 - T11 KH dieu chinh 20-11-THAI_trinh bao gia_BD" xfId="1405" xr:uid="{00000000-0005-0000-0000-000005070000}"/>
    <cellStyle name="_KT_TG_1_Bao cao XDCB 2001 - T11 KH dieu chinh 20-11-THAI_trinh bao gia_DI DOI TRUONG LE QUY DON-HC HOAN CONG" xfId="1406" xr:uid="{00000000-0005-0000-0000-000006070000}"/>
    <cellStyle name="_KT_TG_1_Bao cao XDCB 2001 - T11 KH dieu chinh 20-11-THAI_trinh bao gia_DUONG DOI TAN HOI-NEW 21-8-2006" xfId="1407" xr:uid="{00000000-0005-0000-0000-000007070000}"/>
    <cellStyle name="_KT_TG_1_Bao cao XDCB 2001 - T11 KH dieu chinh 20-11-THAI_trinh bao gia_DUONG DOI THI XA-THU HOI-HC 2-3-07 xls" xfId="1408" xr:uid="{00000000-0005-0000-0000-000008070000}"/>
    <cellStyle name="_KT_TG_1_Bao cao XDCB 2001 - T11 KH dieu chinh 20-11-THAI_trinh bao gia_DUONG DOI THI XA-THU HOI-HC 2-3-07 xls_Song tra-750-tram nen" xfId="1409" xr:uid="{00000000-0005-0000-0000-000009070000}"/>
    <cellStyle name="_KT_TG_1_Bao cao XDCB 2001 - T11 KH dieu chinh 20-11-THAI_trinh bao gia_DUONG DOI THI XA-THU HOI-HC 2-3-07 xls_Song tra-750-tram nen 2" xfId="3027" xr:uid="{00000000-0005-0000-0000-00000A070000}"/>
    <cellStyle name="_KT_TG_1_Bao cao XDCB 2001 - T11 KH dieu chinh 20-11-THAI_trinh bao gia_Gia cuoc van chuyen" xfId="1410" xr:uid="{00000000-0005-0000-0000-00000B070000}"/>
    <cellStyle name="_KT_TG_1_Bao cao XDCB 2001 - T11 KH dieu chinh 20-11-THAI_trinh bao gia_Khu dan cu SO 2(TK BV-TC)-1" xfId="1411" xr:uid="{00000000-0005-0000-0000-00000C070000}"/>
    <cellStyle name="_KT_TG_1_Bao cao XDCB 2001 - T11 KH dieu chinh 20-11-THAI_trinh bao gia_KHU DAN CU SUOI VANG" xfId="1412" xr:uid="{00000000-0005-0000-0000-00000D070000}"/>
    <cellStyle name="_KT_TG_1_Bao cao XDCB 2001 - T11 KH dieu chinh 20-11-THAI_trinh bao gia_Khu TDC Phuoc Trung" xfId="1413" xr:uid="{00000000-0005-0000-0000-00000E070000}"/>
    <cellStyle name="_KT_TG_1_Bao cao XDCB 2001 - T11 KH dieu chinh 20-11-THAI_trinh bao gia_Pham Van Thanh" xfId="1414" xr:uid="{00000000-0005-0000-0000-00000F070000}"/>
    <cellStyle name="_KT_TG_1_Bao cao XDCB 2001 - T11 KH dieu chinh 20-11-THAI_trinh bao gia_Phuoc My Giai Doan 3-gia moi-14-10-uni" xfId="1415" xr:uid="{00000000-0005-0000-0000-000010070000}"/>
    <cellStyle name="_KT_TG_1_Bao cao XDCB 2001 - T11 KH dieu chinh 20-11-THAI_trinh bao gia_Song tra-750-tram nen" xfId="1416" xr:uid="{00000000-0005-0000-0000-000011070000}"/>
    <cellStyle name="_KT_TG_1_Bao cao XDCB 2001 - T11 KH dieu chinh 20-11-THAI_trinh bao gia_Song tra-750-tram nen 2" xfId="3028" xr:uid="{00000000-0005-0000-0000-000012070000}"/>
    <cellStyle name="_KT_TG_1_Bao cao XDCB 2001 - T11 KH dieu chinh 20-11-THAI_trinh bao gia_Thuan Bac-sua lai" xfId="1417" xr:uid="{00000000-0005-0000-0000-000013070000}"/>
    <cellStyle name="_KT_TG_1_Bao cao XDCB 2001 - T11 KH dieu chinh 20-11-THAI_trinh bao gia_VKim" xfId="1418" xr:uid="{00000000-0005-0000-0000-000014070000}"/>
    <cellStyle name="_KT_TG_1_Bao cao XDCB 2001 - T11 KH dieu chinh 20-11-THAI_Truong day nghe (20.1.06)" xfId="1419" xr:uid="{00000000-0005-0000-0000-000015070000}"/>
    <cellStyle name="_KT_TG_1_Bao cao XDCB 2001 - T11 KH dieu chinh 20-11-THAI_Truong day nghe (20.1.06) 2" xfId="3029" xr:uid="{00000000-0005-0000-0000-000016070000}"/>
    <cellStyle name="_KT_TG_1_Book1" xfId="1420" xr:uid="{00000000-0005-0000-0000-000017070000}"/>
    <cellStyle name="_KT_TG_1_Book1_06 Muoi Tri Hai" xfId="1421" xr:uid="{00000000-0005-0000-0000-000018070000}"/>
    <cellStyle name="_KT_TG_1_Book1_07-PHUOC HA.XLS-1" xfId="1422" xr:uid="{00000000-0005-0000-0000-000019070000}"/>
    <cellStyle name="_KT_TG_1_Book1_07-PHUOC HA.XLS-1_Song tra-750-tram nen" xfId="1423" xr:uid="{00000000-0005-0000-0000-00001A070000}"/>
    <cellStyle name="_KT_TG_1_Book1_07-PHUOC HA.XLS-1_Song tra-750-tram nen 2" xfId="3030" xr:uid="{00000000-0005-0000-0000-00001B070000}"/>
    <cellStyle name="_KT_TG_1_Book1_1" xfId="1424" xr:uid="{00000000-0005-0000-0000-00001C070000}"/>
    <cellStyle name="_KT_TG_1_Book1_1_Book1" xfId="1425" xr:uid="{00000000-0005-0000-0000-00001D070000}"/>
    <cellStyle name="_KT_TG_1_Book1_1_Book1_Song tra-750-tram nen" xfId="1426" xr:uid="{00000000-0005-0000-0000-00001E070000}"/>
    <cellStyle name="_KT_TG_1_Book1_1_Book1_Song tra-750-tram nen 2" xfId="3031" xr:uid="{00000000-0005-0000-0000-00001F070000}"/>
    <cellStyle name="_KT_TG_1_Book1_1_Song tra-750-tram nen" xfId="1427" xr:uid="{00000000-0005-0000-0000-000020070000}"/>
    <cellStyle name="_KT_TG_1_Book1_1_Song tra-750-tram nen 2" xfId="3032" xr:uid="{00000000-0005-0000-0000-000021070000}"/>
    <cellStyle name="_KT_TG_1_Book1_2" xfId="1428" xr:uid="{00000000-0005-0000-0000-000022070000}"/>
    <cellStyle name="_KT_TG_1_Book1_2_06 Thuy san Ninh Phuoc (luu 21-06)" xfId="1429" xr:uid="{00000000-0005-0000-0000-000023070000}"/>
    <cellStyle name="_KT_TG_1_Book1_2_BAO TRO XH-DU TOAN" xfId="1430" xr:uid="{00000000-0005-0000-0000-000024070000}"/>
    <cellStyle name="_KT_TG_1_Book1_2_BD" xfId="1431" xr:uid="{00000000-0005-0000-0000-000025070000}"/>
    <cellStyle name="_KT_TG_1_Book1_2_DI DOI TRUONG LE QUY DON-HC HOAN CONG" xfId="1432" xr:uid="{00000000-0005-0000-0000-000026070000}"/>
    <cellStyle name="_KT_TG_1_Book1_2_DT Ngoc Ha" xfId="1433" xr:uid="{00000000-0005-0000-0000-000027070000}"/>
    <cellStyle name="_KT_TG_1_Book1_2_DT Ngoc Ha_Song tra-750-tram nen" xfId="1434" xr:uid="{00000000-0005-0000-0000-000028070000}"/>
    <cellStyle name="_KT_TG_1_Book1_2_DUONG DOI TAN HOI-NEW 21-8-2006" xfId="1435" xr:uid="{00000000-0005-0000-0000-000029070000}"/>
    <cellStyle name="_KT_TG_1_Book1_2_DUONG DOI THI XA-THU HOI-HC 2-3-07 xls" xfId="1436" xr:uid="{00000000-0005-0000-0000-00002A070000}"/>
    <cellStyle name="_KT_TG_1_Book1_2_DUONG DOI THI XA-THU HOI-HC 2-3-07 xls_Song tra-750-tram nen" xfId="1437" xr:uid="{00000000-0005-0000-0000-00002B070000}"/>
    <cellStyle name="_KT_TG_1_Book1_2_Gia cuoc van chuyen" xfId="1438" xr:uid="{00000000-0005-0000-0000-00002C070000}"/>
    <cellStyle name="_KT_TG_1_Book1_2_Khu dan cu SO 2(TK BV-TC)-1" xfId="1439" xr:uid="{00000000-0005-0000-0000-00002D070000}"/>
    <cellStyle name="_KT_TG_1_Book1_2_KHU DAN CU SUOI VANG" xfId="1440" xr:uid="{00000000-0005-0000-0000-00002E070000}"/>
    <cellStyle name="_KT_TG_1_Book1_2_Khu TDC Phuoc Trung" xfId="1441" xr:uid="{00000000-0005-0000-0000-00002F070000}"/>
    <cellStyle name="_KT_TG_1_Book1_2_MUOI TINH PHUOC MINH" xfId="1442" xr:uid="{00000000-0005-0000-0000-000030070000}"/>
    <cellStyle name="_KT_TG_1_Book1_2_MUOI TINH PHUOC MINH_Song tra-750-tram nen" xfId="1443" xr:uid="{00000000-0005-0000-0000-000031070000}"/>
    <cellStyle name="_KT_TG_1_Book1_2_Pham Van Thanh" xfId="1444" xr:uid="{00000000-0005-0000-0000-000032070000}"/>
    <cellStyle name="_KT_TG_1_Book1_2_Phuoc My Giai Doan 3-gia moi-14-10-uni" xfId="1445" xr:uid="{00000000-0005-0000-0000-000033070000}"/>
    <cellStyle name="_KT_TG_1_Book1_2_Song tra-750-tram nen" xfId="1446" xr:uid="{00000000-0005-0000-0000-000034070000}"/>
    <cellStyle name="_KT_TG_1_Book1_2_TDC Tan My" xfId="1447" xr:uid="{00000000-0005-0000-0000-000035070000}"/>
    <cellStyle name="_KT_TG_1_Book1_2_TDC Tan My_Song tra-750-tram nen" xfId="1448" xr:uid="{00000000-0005-0000-0000-000036070000}"/>
    <cellStyle name="_KT_TG_1_Book1_2_Thuan Bac-sua lai" xfId="1449" xr:uid="{00000000-0005-0000-0000-000037070000}"/>
    <cellStyle name="_KT_TG_1_Book1_2_Truong day nghe (20.1.06)" xfId="1450" xr:uid="{00000000-0005-0000-0000-000038070000}"/>
    <cellStyle name="_KT_TG_1_Book1_2_VKim" xfId="1451" xr:uid="{00000000-0005-0000-0000-000039070000}"/>
    <cellStyle name="_KT_TG_1_Book1_3" xfId="1452" xr:uid="{00000000-0005-0000-0000-00003A070000}"/>
    <cellStyle name="_KT_TG_1_Book1_3_Song tra-750-tram nen" xfId="1453" xr:uid="{00000000-0005-0000-0000-00003B070000}"/>
    <cellStyle name="_KT_TG_1_Book1_3_Song tra-750-tram nen 2" xfId="3033" xr:uid="{00000000-0005-0000-0000-00003C070000}"/>
    <cellStyle name="_KT_TG_1_Book1_6.BANG CHI TIET" xfId="1454" xr:uid="{00000000-0005-0000-0000-00003D070000}"/>
    <cellStyle name="_KT_TG_1_Book1_BC-QT-WB-dthao" xfId="1455" xr:uid="{00000000-0005-0000-0000-00003E070000}"/>
    <cellStyle name="_KT_TG_1_Book1_BC-QT-WB-dthao_Song tra-750-tram nen" xfId="1456" xr:uid="{00000000-0005-0000-0000-00003F070000}"/>
    <cellStyle name="_KT_TG_1_Book1_BC-QT-WB-dthao_Song tra-750-tram nen 2" xfId="3034" xr:uid="{00000000-0005-0000-0000-000040070000}"/>
    <cellStyle name="_KT_TG_1_Book1_Book1" xfId="1457" xr:uid="{00000000-0005-0000-0000-000041070000}"/>
    <cellStyle name="_KT_TG_1_Book1_Book1_Song tra-750-tram nen" xfId="1458" xr:uid="{00000000-0005-0000-0000-000042070000}"/>
    <cellStyle name="_KT_TG_1_Book1_Book1_Song tra-750-tram nen 2" xfId="3035" xr:uid="{00000000-0005-0000-0000-000043070000}"/>
    <cellStyle name="_KT_TG_1_Book1_DT Ngoc Ha" xfId="1459" xr:uid="{00000000-0005-0000-0000-000044070000}"/>
    <cellStyle name="_KT_TG_1_Book1_DT Ngoc Ha_Song tra-750-tram nen" xfId="1460" xr:uid="{00000000-0005-0000-0000-000045070000}"/>
    <cellStyle name="_KT_TG_1_Book1_DT Ngoc Ha_Song tra-750-tram nen 2" xfId="3036" xr:uid="{00000000-0005-0000-0000-000046070000}"/>
    <cellStyle name="_KT_TG_1_Book1_Dutoan NC 22 khu vuc san bay  09-2006moi" xfId="3877" xr:uid="{00000000-0005-0000-0000-000047070000}"/>
    <cellStyle name="_KT_TG_1_Book1_KH2-06 PT LHT Binh Thanh 2003" xfId="1461" xr:uid="{00000000-0005-0000-0000-000048070000}"/>
    <cellStyle name="_KT_TG_1_Book1_KH2-06 PT LHT Binh Thanh 2003_Song tra-750-tram nen" xfId="1462" xr:uid="{00000000-0005-0000-0000-000049070000}"/>
    <cellStyle name="_KT_TG_1_Book1_KH2-06 PT LHT Binh Thanh 2003_Song tra-750-tram nen 2" xfId="3037" xr:uid="{00000000-0005-0000-0000-00004A070000}"/>
    <cellStyle name="_KT_TG_1_Book1_MUOI TINH PHUOC MINH" xfId="1463" xr:uid="{00000000-0005-0000-0000-00004B070000}"/>
    <cellStyle name="_KT_TG_1_Book1_MUOI TINH PHUOC MINH_Song tra-750-tram nen" xfId="1464" xr:uid="{00000000-0005-0000-0000-00004C070000}"/>
    <cellStyle name="_KT_TG_1_Book1_MUOI TINH PHUOC MINH_Song tra-750-tram nen 2" xfId="3038" xr:uid="{00000000-0005-0000-0000-00004D070000}"/>
    <cellStyle name="_KT_TG_1_Book1_Song tra-750-tram nen" xfId="1465" xr:uid="{00000000-0005-0000-0000-00004E070000}"/>
    <cellStyle name="_KT_TG_1_Book1_Song tra-750-tram nen 2" xfId="3039" xr:uid="{00000000-0005-0000-0000-00004F070000}"/>
    <cellStyle name="_KT_TG_1_Book1_TDC Tan My" xfId="1466" xr:uid="{00000000-0005-0000-0000-000050070000}"/>
    <cellStyle name="_KT_TG_1_Book1_TDC Tan My_Song tra-750-tram nen" xfId="1467" xr:uid="{00000000-0005-0000-0000-000051070000}"/>
    <cellStyle name="_KT_TG_1_Book1_TDC Tan My_Song tra-750-tram nen 2" xfId="3040" xr:uid="{00000000-0005-0000-0000-000052070000}"/>
    <cellStyle name="_KT_TG_1_Book1_THANHLOC Khai Hung" xfId="1468" xr:uid="{00000000-0005-0000-0000-000053070000}"/>
    <cellStyle name="_KT_TG_1_Book1_THANHLOC Khai Hung_Song tra-750-tram nen" xfId="1469" xr:uid="{00000000-0005-0000-0000-000054070000}"/>
    <cellStyle name="_KT_TG_1_Book1_THANHLOC Khai Hung_Song tra-750-tram nen 2" xfId="3041" xr:uid="{00000000-0005-0000-0000-000055070000}"/>
    <cellStyle name="_KT_TG_1_Book1_Truong day nghe (20.1.06)" xfId="1470" xr:uid="{00000000-0005-0000-0000-000056070000}"/>
    <cellStyle name="_KT_TG_1_Book1_Truong day nghe (20.1.06) 2" xfId="3042" xr:uid="{00000000-0005-0000-0000-000057070000}"/>
    <cellStyle name="_KT_TG_1_DAU NOI PL-CL TAI PHU LAMHC" xfId="1471" xr:uid="{00000000-0005-0000-0000-000058070000}"/>
    <cellStyle name="_KT_TG_1_DAU NOI PL-CL TAI PHU LAMHC_Song tra-750-tram nen" xfId="1472" xr:uid="{00000000-0005-0000-0000-000059070000}"/>
    <cellStyle name="_KT_TG_1_DAU NOI PL-CL TAI PHU LAMHC_Song tra-750-tram nen 2" xfId="3043" xr:uid="{00000000-0005-0000-0000-00005A070000}"/>
    <cellStyle name="_KT_TG_1_Dien Ke thon Phuoc Nhon 2" xfId="1473" xr:uid="{00000000-0005-0000-0000-00005B070000}"/>
    <cellStyle name="_KT_TG_1_DT Ngoc Ha" xfId="1474" xr:uid="{00000000-0005-0000-0000-00005C070000}"/>
    <cellStyle name="_KT_TG_1_DT Ngoc Ha_Song tra-750-tram nen" xfId="1475" xr:uid="{00000000-0005-0000-0000-00005D070000}"/>
    <cellStyle name="_KT_TG_1_DT Ngoc Ha_Song tra-750-tram nen 2" xfId="3044" xr:uid="{00000000-0005-0000-0000-00005E070000}"/>
    <cellStyle name="_KT_TG_1_DTCDT MR.2N110.HOCMON.TDTOAN.CCUNG" xfId="1476" xr:uid="{00000000-0005-0000-0000-00005F070000}"/>
    <cellStyle name="_KT_TG_1_DTCDT MR.2N110.HOCMON.TDTOAN.CCUNG_Song tra-750-tram nen" xfId="1477" xr:uid="{00000000-0005-0000-0000-000060070000}"/>
    <cellStyle name="_KT_TG_1_DTCDT MR.2N110.HOCMON.TDTOAN.CCUNG_Song tra-750-tram nen 2" xfId="3045" xr:uid="{00000000-0005-0000-0000-000061070000}"/>
    <cellStyle name="_KT_TG_1_Du toan thay ong ep va da composite sua" xfId="3878" xr:uid="{00000000-0005-0000-0000-000062070000}"/>
    <cellStyle name="_KT_TG_1_Du toan tram GDEN2 giai doan 2" xfId="1478" xr:uid="{00000000-0005-0000-0000-000063070000}"/>
    <cellStyle name="_KT_TG_1_Du toan tram PHUOC NHON 2 giai doan 2" xfId="1479" xr:uid="{00000000-0005-0000-0000-000064070000}"/>
    <cellStyle name="_KT_TG_1_Dutoan NC 22 khu vuc san bay  09-2006moi" xfId="3879" xr:uid="{00000000-0005-0000-0000-000065070000}"/>
    <cellStyle name="_KT_TG_1_DUTOAN_DAMDOI_PD1" xfId="1480" xr:uid="{00000000-0005-0000-0000-000066070000}"/>
    <cellStyle name="_KT_TG_1_DUTOAN_DAMDOI_PD1_Song tra-750-tram nen" xfId="1481" xr:uid="{00000000-0005-0000-0000-000067070000}"/>
    <cellStyle name="_KT_TG_1_DUTOAN_DAMDOI_PD1_Song tra-750-tram nen 2" xfId="3046" xr:uid="{00000000-0005-0000-0000-000068070000}"/>
    <cellStyle name="_KT_TG_1_KH2-06 PT LHT Binh Thanh 2003" xfId="1482" xr:uid="{00000000-0005-0000-0000-000069070000}"/>
    <cellStyle name="_KT_TG_1_KH2-06 PT LHT Binh Thanh 2003_Book1" xfId="1483" xr:uid="{00000000-0005-0000-0000-00006A070000}"/>
    <cellStyle name="_KT_TG_1_KH2-06 PT LHT Binh Thanh 2003_Book1_Song tra-750-tram nen" xfId="1484" xr:uid="{00000000-0005-0000-0000-00006B070000}"/>
    <cellStyle name="_KT_TG_1_KH2-06 PT LHT Binh Thanh 2003_Book1_Song tra-750-tram nen 2" xfId="3047" xr:uid="{00000000-0005-0000-0000-00006C070000}"/>
    <cellStyle name="_KT_TG_1_KH2-06 PT LHT Binh Thanh 2003_Song tra-750-tram nen" xfId="1485" xr:uid="{00000000-0005-0000-0000-00006D070000}"/>
    <cellStyle name="_KT_TG_1_KH2-06 PT LHT Binh Thanh 2003_Song tra-750-tram nen 2" xfId="3048" xr:uid="{00000000-0005-0000-0000-00006E070000}"/>
    <cellStyle name="_KT_TG_1_KH2-06 PT LHT Binh Thanh 2003_trinh bao gia" xfId="1486" xr:uid="{00000000-0005-0000-0000-00006F070000}"/>
    <cellStyle name="_KT_TG_1_KH2-06 PT LHT Binh Thanh 2003_trinh bao gia_06 Thuy san Ninh Phuoc (luu 21-06)" xfId="1487" xr:uid="{00000000-0005-0000-0000-000070070000}"/>
    <cellStyle name="_KT_TG_1_KH2-06 PT LHT Binh Thanh 2003_trinh bao gia_BAO TRO XH-DU TOAN" xfId="1488" xr:uid="{00000000-0005-0000-0000-000071070000}"/>
    <cellStyle name="_KT_TG_1_KH2-06 PT LHT Binh Thanh 2003_trinh bao gia_BD" xfId="1489" xr:uid="{00000000-0005-0000-0000-000072070000}"/>
    <cellStyle name="_KT_TG_1_KH2-06 PT LHT Binh Thanh 2003_trinh bao gia_DI DOI TRUONG LE QUY DON-HC HOAN CONG" xfId="1490" xr:uid="{00000000-0005-0000-0000-000073070000}"/>
    <cellStyle name="_KT_TG_1_KH2-06 PT LHT Binh Thanh 2003_trinh bao gia_DUONG DOI TAN HOI-NEW 21-8-2006" xfId="1491" xr:uid="{00000000-0005-0000-0000-000074070000}"/>
    <cellStyle name="_KT_TG_1_KH2-06 PT LHT Binh Thanh 2003_trinh bao gia_DUONG DOI THI XA-THU HOI-HC 2-3-07 xls" xfId="1492" xr:uid="{00000000-0005-0000-0000-000075070000}"/>
    <cellStyle name="_KT_TG_1_KH2-06 PT LHT Binh Thanh 2003_trinh bao gia_DUONG DOI THI XA-THU HOI-HC 2-3-07 xls_Song tra-750-tram nen" xfId="1493" xr:uid="{00000000-0005-0000-0000-000076070000}"/>
    <cellStyle name="_KT_TG_1_KH2-06 PT LHT Binh Thanh 2003_trinh bao gia_DUONG DOI THI XA-THU HOI-HC 2-3-07 xls_Song tra-750-tram nen 2" xfId="3049" xr:uid="{00000000-0005-0000-0000-000077070000}"/>
    <cellStyle name="_KT_TG_1_KH2-06 PT LHT Binh Thanh 2003_trinh bao gia_Gia cuoc van chuyen" xfId="1494" xr:uid="{00000000-0005-0000-0000-000078070000}"/>
    <cellStyle name="_KT_TG_1_KH2-06 PT LHT Binh Thanh 2003_trinh bao gia_Khu dan cu SO 2(TK BV-TC)-1" xfId="1495" xr:uid="{00000000-0005-0000-0000-000079070000}"/>
    <cellStyle name="_KT_TG_1_KH2-06 PT LHT Binh Thanh 2003_trinh bao gia_KHU DAN CU SUOI VANG" xfId="1496" xr:uid="{00000000-0005-0000-0000-00007A070000}"/>
    <cellStyle name="_KT_TG_1_KH2-06 PT LHT Binh Thanh 2003_trinh bao gia_Khu TDC Phuoc Trung" xfId="1497" xr:uid="{00000000-0005-0000-0000-00007B070000}"/>
    <cellStyle name="_KT_TG_1_KH2-06 PT LHT Binh Thanh 2003_trinh bao gia_Pham Van Thanh" xfId="1498" xr:uid="{00000000-0005-0000-0000-00007C070000}"/>
    <cellStyle name="_KT_TG_1_KH2-06 PT LHT Binh Thanh 2003_trinh bao gia_Phuoc My Giai Doan 3-gia moi-14-10-uni" xfId="1499" xr:uid="{00000000-0005-0000-0000-00007D070000}"/>
    <cellStyle name="_KT_TG_1_KH2-06 PT LHT Binh Thanh 2003_trinh bao gia_Song tra-750-tram nen" xfId="1500" xr:uid="{00000000-0005-0000-0000-00007E070000}"/>
    <cellStyle name="_KT_TG_1_KH2-06 PT LHT Binh Thanh 2003_trinh bao gia_Song tra-750-tram nen 2" xfId="3050" xr:uid="{00000000-0005-0000-0000-00007F070000}"/>
    <cellStyle name="_KT_TG_1_KH2-06 PT LHT Binh Thanh 2003_trinh bao gia_Thuan Bac-sua lai" xfId="1501" xr:uid="{00000000-0005-0000-0000-000080070000}"/>
    <cellStyle name="_KT_TG_1_KH2-06 PT LHT Binh Thanh 2003_trinh bao gia_VKim" xfId="1502" xr:uid="{00000000-0005-0000-0000-000081070000}"/>
    <cellStyle name="_KT_TG_1_KINH DOANH_ SCL 2015" xfId="3880" xr:uid="{00000000-0005-0000-0000-000082070000}"/>
    <cellStyle name="_KT_TG_1_Lora-tungchau" xfId="1503" xr:uid="{00000000-0005-0000-0000-000083070000}"/>
    <cellStyle name="_KT_TG_1_Lora-tungchau_Song tra-750-tram nen" xfId="1504" xr:uid="{00000000-0005-0000-0000-000084070000}"/>
    <cellStyle name="_KT_TG_1_Lora-tungchau_Song tra-750-tram nen 2" xfId="3051" xr:uid="{00000000-0005-0000-0000-000085070000}"/>
    <cellStyle name="_KT_TG_1_MUOI TINH PHUOC MINH" xfId="1505" xr:uid="{00000000-0005-0000-0000-000086070000}"/>
    <cellStyle name="_KT_TG_1_MUOI TINH PHUOC MINH_Song tra-750-tram nen" xfId="1506" xr:uid="{00000000-0005-0000-0000-000087070000}"/>
    <cellStyle name="_KT_TG_1_MUOI TINH PHUOC MINH_Song tra-750-tram nen 2" xfId="3052" xr:uid="{00000000-0005-0000-0000-000088070000}"/>
    <cellStyle name="_KT_TG_1_PGIA-phieu tham tra Kho bac" xfId="1507" xr:uid="{00000000-0005-0000-0000-000089070000}"/>
    <cellStyle name="_KT_TG_1_PGIA-phieu tham tra Kho bac_Book1" xfId="1508" xr:uid="{00000000-0005-0000-0000-00008A070000}"/>
    <cellStyle name="_KT_TG_1_PGIA-phieu tham tra Kho bac_Book1_Song tra-750-tram nen" xfId="1509" xr:uid="{00000000-0005-0000-0000-00008B070000}"/>
    <cellStyle name="_KT_TG_1_PGIA-phieu tham tra Kho bac_Book1_Song tra-750-tram nen 2" xfId="3053" xr:uid="{00000000-0005-0000-0000-00008C070000}"/>
    <cellStyle name="_KT_TG_1_PGIA-phieu tham tra Kho bac_DT Ngoc Ha" xfId="1510" xr:uid="{00000000-0005-0000-0000-00008D070000}"/>
    <cellStyle name="_KT_TG_1_PGIA-phieu tham tra Kho bac_DT Ngoc Ha_Song tra-750-tram nen" xfId="1511" xr:uid="{00000000-0005-0000-0000-00008E070000}"/>
    <cellStyle name="_KT_TG_1_PGIA-phieu tham tra Kho bac_DT Ngoc Ha_Song tra-750-tram nen 2" xfId="3054" xr:uid="{00000000-0005-0000-0000-00008F070000}"/>
    <cellStyle name="_KT_TG_1_PGIA-phieu tham tra Kho bac_MUOI TINH PHUOC MINH" xfId="1512" xr:uid="{00000000-0005-0000-0000-000090070000}"/>
    <cellStyle name="_KT_TG_1_PGIA-phieu tham tra Kho bac_MUOI TINH PHUOC MINH_Song tra-750-tram nen" xfId="1513" xr:uid="{00000000-0005-0000-0000-000091070000}"/>
    <cellStyle name="_KT_TG_1_PGIA-phieu tham tra Kho bac_MUOI TINH PHUOC MINH_Song tra-750-tram nen 2" xfId="3055" xr:uid="{00000000-0005-0000-0000-000092070000}"/>
    <cellStyle name="_KT_TG_1_PGIA-phieu tham tra Kho bac_Song tra-750-tram nen" xfId="1514" xr:uid="{00000000-0005-0000-0000-000093070000}"/>
    <cellStyle name="_KT_TG_1_PGIA-phieu tham tra Kho bac_Song tra-750-tram nen 2" xfId="3056" xr:uid="{00000000-0005-0000-0000-000094070000}"/>
    <cellStyle name="_KT_TG_1_PGIA-phieu tham tra Kho bac_TDC Tan My" xfId="1515" xr:uid="{00000000-0005-0000-0000-000095070000}"/>
    <cellStyle name="_KT_TG_1_PGIA-phieu tham tra Kho bac_TDC Tan My_Song tra-750-tram nen" xfId="1516" xr:uid="{00000000-0005-0000-0000-000096070000}"/>
    <cellStyle name="_KT_TG_1_PGIA-phieu tham tra Kho bac_TDC Tan My_Song tra-750-tram nen 2" xfId="3057" xr:uid="{00000000-0005-0000-0000-000097070000}"/>
    <cellStyle name="_KT_TG_1_PGIA-phieu tham tra Kho bac_trinh bao gia" xfId="1517" xr:uid="{00000000-0005-0000-0000-000098070000}"/>
    <cellStyle name="_KT_TG_1_PGIA-phieu tham tra Kho bac_trinh bao gia_06 Thuy san Ninh Phuoc (luu 21-06)" xfId="1518" xr:uid="{00000000-0005-0000-0000-000099070000}"/>
    <cellStyle name="_KT_TG_1_PGIA-phieu tham tra Kho bac_trinh bao gia_BAO TRO XH-DU TOAN" xfId="1519" xr:uid="{00000000-0005-0000-0000-00009A070000}"/>
    <cellStyle name="_KT_TG_1_PGIA-phieu tham tra Kho bac_trinh bao gia_BD" xfId="1520" xr:uid="{00000000-0005-0000-0000-00009B070000}"/>
    <cellStyle name="_KT_TG_1_PGIA-phieu tham tra Kho bac_trinh bao gia_DI DOI TRUONG LE QUY DON-HC HOAN CONG" xfId="1521" xr:uid="{00000000-0005-0000-0000-00009C070000}"/>
    <cellStyle name="_KT_TG_1_PGIA-phieu tham tra Kho bac_trinh bao gia_DUONG DOI TAN HOI-NEW 21-8-2006" xfId="1522" xr:uid="{00000000-0005-0000-0000-00009D070000}"/>
    <cellStyle name="_KT_TG_1_PGIA-phieu tham tra Kho bac_trinh bao gia_DUONG DOI THI XA-THU HOI-HC 2-3-07 xls" xfId="1523" xr:uid="{00000000-0005-0000-0000-00009E070000}"/>
    <cellStyle name="_KT_TG_1_PGIA-phieu tham tra Kho bac_trinh bao gia_DUONG DOI THI XA-THU HOI-HC 2-3-07 xls_Song tra-750-tram nen" xfId="1524" xr:uid="{00000000-0005-0000-0000-00009F070000}"/>
    <cellStyle name="_KT_TG_1_PGIA-phieu tham tra Kho bac_trinh bao gia_DUONG DOI THI XA-THU HOI-HC 2-3-07 xls_Song tra-750-tram nen 2" xfId="3058" xr:uid="{00000000-0005-0000-0000-0000A0070000}"/>
    <cellStyle name="_KT_TG_1_PGIA-phieu tham tra Kho bac_trinh bao gia_Gia cuoc van chuyen" xfId="1525" xr:uid="{00000000-0005-0000-0000-0000A1070000}"/>
    <cellStyle name="_KT_TG_1_PGIA-phieu tham tra Kho bac_trinh bao gia_Khu dan cu SO 2(TK BV-TC)-1" xfId="1526" xr:uid="{00000000-0005-0000-0000-0000A2070000}"/>
    <cellStyle name="_KT_TG_1_PGIA-phieu tham tra Kho bac_trinh bao gia_KHU DAN CU SUOI VANG" xfId="1527" xr:uid="{00000000-0005-0000-0000-0000A3070000}"/>
    <cellStyle name="_KT_TG_1_PGIA-phieu tham tra Kho bac_trinh bao gia_Khu TDC Phuoc Trung" xfId="1528" xr:uid="{00000000-0005-0000-0000-0000A4070000}"/>
    <cellStyle name="_KT_TG_1_PGIA-phieu tham tra Kho bac_trinh bao gia_Pham Van Thanh" xfId="1529" xr:uid="{00000000-0005-0000-0000-0000A5070000}"/>
    <cellStyle name="_KT_TG_1_PGIA-phieu tham tra Kho bac_trinh bao gia_Phuoc My Giai Doan 3-gia moi-14-10-uni" xfId="1530" xr:uid="{00000000-0005-0000-0000-0000A6070000}"/>
    <cellStyle name="_KT_TG_1_PGIA-phieu tham tra Kho bac_trinh bao gia_Song tra-750-tram nen" xfId="1531" xr:uid="{00000000-0005-0000-0000-0000A7070000}"/>
    <cellStyle name="_KT_TG_1_PGIA-phieu tham tra Kho bac_trinh bao gia_Song tra-750-tram nen 2" xfId="3059" xr:uid="{00000000-0005-0000-0000-0000A8070000}"/>
    <cellStyle name="_KT_TG_1_PGIA-phieu tham tra Kho bac_trinh bao gia_Thuan Bac-sua lai" xfId="1532" xr:uid="{00000000-0005-0000-0000-0000A9070000}"/>
    <cellStyle name="_KT_TG_1_PGIA-phieu tham tra Kho bac_trinh bao gia_VKim" xfId="1533" xr:uid="{00000000-0005-0000-0000-0000AA070000}"/>
    <cellStyle name="_KT_TG_1_PGIA-phieu tham tra Kho bac_Truong day nghe (20.1.06)" xfId="1534" xr:uid="{00000000-0005-0000-0000-0000AB070000}"/>
    <cellStyle name="_KT_TG_1_PGIA-phieu tham tra Kho bac_Truong day nghe (20.1.06) 2" xfId="3060" xr:uid="{00000000-0005-0000-0000-0000AC070000}"/>
    <cellStyle name="_KT_TG_1_PHUOC HUU" xfId="1535" xr:uid="{00000000-0005-0000-0000-0000AD070000}"/>
    <cellStyle name="_KT_TG_1_PHUOC HUU_Song tra-750-tram nen" xfId="1536" xr:uid="{00000000-0005-0000-0000-0000AE070000}"/>
    <cellStyle name="_KT_TG_1_PHUOC HUU_Song tra-750-tram nen 2" xfId="3061" xr:uid="{00000000-0005-0000-0000-0000AF070000}"/>
    <cellStyle name="_KT_TG_1_PT02-02" xfId="1537" xr:uid="{00000000-0005-0000-0000-0000B0070000}"/>
    <cellStyle name="_KT_TG_1_PT02-02_Book1" xfId="1538" xr:uid="{00000000-0005-0000-0000-0000B1070000}"/>
    <cellStyle name="_KT_TG_1_PT02-02_Book1_Song tra-750-tram nen" xfId="1539" xr:uid="{00000000-0005-0000-0000-0000B2070000}"/>
    <cellStyle name="_KT_TG_1_PT02-02_Book1_Song tra-750-tram nen 2" xfId="3062" xr:uid="{00000000-0005-0000-0000-0000B3070000}"/>
    <cellStyle name="_KT_TG_1_PT02-02_DT Ngoc Ha" xfId="1540" xr:uid="{00000000-0005-0000-0000-0000B4070000}"/>
    <cellStyle name="_KT_TG_1_PT02-02_DT Ngoc Ha_Song tra-750-tram nen" xfId="1541" xr:uid="{00000000-0005-0000-0000-0000B5070000}"/>
    <cellStyle name="_KT_TG_1_PT02-02_DT Ngoc Ha_Song tra-750-tram nen 2" xfId="3063" xr:uid="{00000000-0005-0000-0000-0000B6070000}"/>
    <cellStyle name="_KT_TG_1_PT02-02_MUOI TINH PHUOC MINH" xfId="1542" xr:uid="{00000000-0005-0000-0000-0000B7070000}"/>
    <cellStyle name="_KT_TG_1_PT02-02_MUOI TINH PHUOC MINH_Song tra-750-tram nen" xfId="1543" xr:uid="{00000000-0005-0000-0000-0000B8070000}"/>
    <cellStyle name="_KT_TG_1_PT02-02_MUOI TINH PHUOC MINH_Song tra-750-tram nen 2" xfId="3064" xr:uid="{00000000-0005-0000-0000-0000B9070000}"/>
    <cellStyle name="_KT_TG_1_PT02-02_Song tra-750-tram nen" xfId="1544" xr:uid="{00000000-0005-0000-0000-0000BA070000}"/>
    <cellStyle name="_KT_TG_1_PT02-02_Song tra-750-tram nen 2" xfId="3065" xr:uid="{00000000-0005-0000-0000-0000BB070000}"/>
    <cellStyle name="_KT_TG_1_PT02-02_TDC Tan My" xfId="1545" xr:uid="{00000000-0005-0000-0000-0000BC070000}"/>
    <cellStyle name="_KT_TG_1_PT02-02_TDC Tan My_Song tra-750-tram nen" xfId="1546" xr:uid="{00000000-0005-0000-0000-0000BD070000}"/>
    <cellStyle name="_KT_TG_1_PT02-02_TDC Tan My_Song tra-750-tram nen 2" xfId="3066" xr:uid="{00000000-0005-0000-0000-0000BE070000}"/>
    <cellStyle name="_KT_TG_1_PT02-02_trinh bao gia" xfId="1547" xr:uid="{00000000-0005-0000-0000-0000BF070000}"/>
    <cellStyle name="_KT_TG_1_PT02-02_trinh bao gia_06 Thuy san Ninh Phuoc (luu 21-06)" xfId="1548" xr:uid="{00000000-0005-0000-0000-0000C0070000}"/>
    <cellStyle name="_KT_TG_1_PT02-02_trinh bao gia_BAO TRO XH-DU TOAN" xfId="1549" xr:uid="{00000000-0005-0000-0000-0000C1070000}"/>
    <cellStyle name="_KT_TG_1_PT02-02_trinh bao gia_BD" xfId="1550" xr:uid="{00000000-0005-0000-0000-0000C2070000}"/>
    <cellStyle name="_KT_TG_1_PT02-02_trinh bao gia_DI DOI TRUONG LE QUY DON-HC HOAN CONG" xfId="1551" xr:uid="{00000000-0005-0000-0000-0000C3070000}"/>
    <cellStyle name="_KT_TG_1_PT02-02_trinh bao gia_DUONG DOI TAN HOI-NEW 21-8-2006" xfId="1552" xr:uid="{00000000-0005-0000-0000-0000C4070000}"/>
    <cellStyle name="_KT_TG_1_PT02-02_trinh bao gia_DUONG DOI THI XA-THU HOI-HC 2-3-07 xls" xfId="1553" xr:uid="{00000000-0005-0000-0000-0000C5070000}"/>
    <cellStyle name="_KT_TG_1_PT02-02_trinh bao gia_DUONG DOI THI XA-THU HOI-HC 2-3-07 xls_Song tra-750-tram nen" xfId="1554" xr:uid="{00000000-0005-0000-0000-0000C6070000}"/>
    <cellStyle name="_KT_TG_1_PT02-02_trinh bao gia_DUONG DOI THI XA-THU HOI-HC 2-3-07 xls_Song tra-750-tram nen 2" xfId="3067" xr:uid="{00000000-0005-0000-0000-0000C7070000}"/>
    <cellStyle name="_KT_TG_1_PT02-02_trinh bao gia_Gia cuoc van chuyen" xfId="1555" xr:uid="{00000000-0005-0000-0000-0000C8070000}"/>
    <cellStyle name="_KT_TG_1_PT02-02_trinh bao gia_Khu dan cu SO 2(TK BV-TC)-1" xfId="1556" xr:uid="{00000000-0005-0000-0000-0000C9070000}"/>
    <cellStyle name="_KT_TG_1_PT02-02_trinh bao gia_KHU DAN CU SUOI VANG" xfId="1557" xr:uid="{00000000-0005-0000-0000-0000CA070000}"/>
    <cellStyle name="_KT_TG_1_PT02-02_trinh bao gia_Khu TDC Phuoc Trung" xfId="1558" xr:uid="{00000000-0005-0000-0000-0000CB070000}"/>
    <cellStyle name="_KT_TG_1_PT02-02_trinh bao gia_Pham Van Thanh" xfId="1559" xr:uid="{00000000-0005-0000-0000-0000CC070000}"/>
    <cellStyle name="_KT_TG_1_PT02-02_trinh bao gia_Phuoc My Giai Doan 3-gia moi-14-10-uni" xfId="1560" xr:uid="{00000000-0005-0000-0000-0000CD070000}"/>
    <cellStyle name="_KT_TG_1_PT02-02_trinh bao gia_Song tra-750-tram nen" xfId="1561" xr:uid="{00000000-0005-0000-0000-0000CE070000}"/>
    <cellStyle name="_KT_TG_1_PT02-02_trinh bao gia_Song tra-750-tram nen 2" xfId="3068" xr:uid="{00000000-0005-0000-0000-0000CF070000}"/>
    <cellStyle name="_KT_TG_1_PT02-02_trinh bao gia_Thuan Bac-sua lai" xfId="1562" xr:uid="{00000000-0005-0000-0000-0000D0070000}"/>
    <cellStyle name="_KT_TG_1_PT02-02_trinh bao gia_VKim" xfId="1563" xr:uid="{00000000-0005-0000-0000-0000D1070000}"/>
    <cellStyle name="_KT_TG_1_PT02-02_Truong day nghe (20.1.06)" xfId="1564" xr:uid="{00000000-0005-0000-0000-0000D2070000}"/>
    <cellStyle name="_KT_TG_1_PT02-02_Truong day nghe (20.1.06) 2" xfId="3069" xr:uid="{00000000-0005-0000-0000-0000D3070000}"/>
    <cellStyle name="_KT_TG_1_PT02-03" xfId="1565" xr:uid="{00000000-0005-0000-0000-0000D4070000}"/>
    <cellStyle name="_KT_TG_1_PT02-03_Book1" xfId="1566" xr:uid="{00000000-0005-0000-0000-0000D5070000}"/>
    <cellStyle name="_KT_TG_1_PT02-03_Book1_Song tra-750-tram nen" xfId="1567" xr:uid="{00000000-0005-0000-0000-0000D6070000}"/>
    <cellStyle name="_KT_TG_1_PT02-03_Book1_Song tra-750-tram nen 2" xfId="3070" xr:uid="{00000000-0005-0000-0000-0000D7070000}"/>
    <cellStyle name="_KT_TG_1_PT02-03_DT Ngoc Ha" xfId="1568" xr:uid="{00000000-0005-0000-0000-0000D8070000}"/>
    <cellStyle name="_KT_TG_1_PT02-03_DT Ngoc Ha_Song tra-750-tram nen" xfId="1569" xr:uid="{00000000-0005-0000-0000-0000D9070000}"/>
    <cellStyle name="_KT_TG_1_PT02-03_DT Ngoc Ha_Song tra-750-tram nen 2" xfId="3071" xr:uid="{00000000-0005-0000-0000-0000DA070000}"/>
    <cellStyle name="_KT_TG_1_PT02-03_MUOI TINH PHUOC MINH" xfId="1570" xr:uid="{00000000-0005-0000-0000-0000DB070000}"/>
    <cellStyle name="_KT_TG_1_PT02-03_MUOI TINH PHUOC MINH_Song tra-750-tram nen" xfId="1571" xr:uid="{00000000-0005-0000-0000-0000DC070000}"/>
    <cellStyle name="_KT_TG_1_PT02-03_MUOI TINH PHUOC MINH_Song tra-750-tram nen 2" xfId="3072" xr:uid="{00000000-0005-0000-0000-0000DD070000}"/>
    <cellStyle name="_KT_TG_1_PT02-03_Song tra-750-tram nen" xfId="1572" xr:uid="{00000000-0005-0000-0000-0000DE070000}"/>
    <cellStyle name="_KT_TG_1_PT02-03_Song tra-750-tram nen 2" xfId="3073" xr:uid="{00000000-0005-0000-0000-0000DF070000}"/>
    <cellStyle name="_KT_TG_1_PT02-03_TDC Tan My" xfId="1573" xr:uid="{00000000-0005-0000-0000-0000E0070000}"/>
    <cellStyle name="_KT_TG_1_PT02-03_TDC Tan My_Song tra-750-tram nen" xfId="1574" xr:uid="{00000000-0005-0000-0000-0000E1070000}"/>
    <cellStyle name="_KT_TG_1_PT02-03_TDC Tan My_Song tra-750-tram nen 2" xfId="3074" xr:uid="{00000000-0005-0000-0000-0000E2070000}"/>
    <cellStyle name="_KT_TG_1_PT02-03_trinh bao gia" xfId="1575" xr:uid="{00000000-0005-0000-0000-0000E3070000}"/>
    <cellStyle name="_KT_TG_1_PT02-03_trinh bao gia_06 Thuy san Ninh Phuoc (luu 21-06)" xfId="1576" xr:uid="{00000000-0005-0000-0000-0000E4070000}"/>
    <cellStyle name="_KT_TG_1_PT02-03_trinh bao gia_BAO TRO XH-DU TOAN" xfId="1577" xr:uid="{00000000-0005-0000-0000-0000E5070000}"/>
    <cellStyle name="_KT_TG_1_PT02-03_trinh bao gia_BD" xfId="1578" xr:uid="{00000000-0005-0000-0000-0000E6070000}"/>
    <cellStyle name="_KT_TG_1_PT02-03_trinh bao gia_DI DOI TRUONG LE QUY DON-HC HOAN CONG" xfId="1579" xr:uid="{00000000-0005-0000-0000-0000E7070000}"/>
    <cellStyle name="_KT_TG_1_PT02-03_trinh bao gia_DUONG DOI TAN HOI-NEW 21-8-2006" xfId="1580" xr:uid="{00000000-0005-0000-0000-0000E8070000}"/>
    <cellStyle name="_KT_TG_1_PT02-03_trinh bao gia_DUONG DOI THI XA-THU HOI-HC 2-3-07 xls" xfId="1581" xr:uid="{00000000-0005-0000-0000-0000E9070000}"/>
    <cellStyle name="_KT_TG_1_PT02-03_trinh bao gia_DUONG DOI THI XA-THU HOI-HC 2-3-07 xls_Song tra-750-tram nen" xfId="1582" xr:uid="{00000000-0005-0000-0000-0000EA070000}"/>
    <cellStyle name="_KT_TG_1_PT02-03_trinh bao gia_DUONG DOI THI XA-THU HOI-HC 2-3-07 xls_Song tra-750-tram nen 2" xfId="3075" xr:uid="{00000000-0005-0000-0000-0000EB070000}"/>
    <cellStyle name="_KT_TG_1_PT02-03_trinh bao gia_Gia cuoc van chuyen" xfId="1583" xr:uid="{00000000-0005-0000-0000-0000EC070000}"/>
    <cellStyle name="_KT_TG_1_PT02-03_trinh bao gia_Khu dan cu SO 2(TK BV-TC)-1" xfId="1584" xr:uid="{00000000-0005-0000-0000-0000ED070000}"/>
    <cellStyle name="_KT_TG_1_PT02-03_trinh bao gia_KHU DAN CU SUOI VANG" xfId="1585" xr:uid="{00000000-0005-0000-0000-0000EE070000}"/>
    <cellStyle name="_KT_TG_1_PT02-03_trinh bao gia_Khu TDC Phuoc Trung" xfId="1586" xr:uid="{00000000-0005-0000-0000-0000EF070000}"/>
    <cellStyle name="_KT_TG_1_PT02-03_trinh bao gia_Pham Van Thanh" xfId="1587" xr:uid="{00000000-0005-0000-0000-0000F0070000}"/>
    <cellStyle name="_KT_TG_1_PT02-03_trinh bao gia_Phuoc My Giai Doan 3-gia moi-14-10-uni" xfId="1588" xr:uid="{00000000-0005-0000-0000-0000F1070000}"/>
    <cellStyle name="_KT_TG_1_PT02-03_trinh bao gia_Song tra-750-tram nen" xfId="1589" xr:uid="{00000000-0005-0000-0000-0000F2070000}"/>
    <cellStyle name="_KT_TG_1_PT02-03_trinh bao gia_Song tra-750-tram nen 2" xfId="3076" xr:uid="{00000000-0005-0000-0000-0000F3070000}"/>
    <cellStyle name="_KT_TG_1_PT02-03_trinh bao gia_Thuan Bac-sua lai" xfId="1590" xr:uid="{00000000-0005-0000-0000-0000F4070000}"/>
    <cellStyle name="_KT_TG_1_PT02-03_trinh bao gia_VKim" xfId="1591" xr:uid="{00000000-0005-0000-0000-0000F5070000}"/>
    <cellStyle name="_KT_TG_1_PT02-03_Truong day nghe (20.1.06)" xfId="1592" xr:uid="{00000000-0005-0000-0000-0000F6070000}"/>
    <cellStyle name="_KT_TG_1_PT02-03_Truong day nghe (20.1.06) 2" xfId="3077" xr:uid="{00000000-0005-0000-0000-0000F7070000}"/>
    <cellStyle name="_KT_TG_1_Qt-HT3PQ1(CauKho)" xfId="1593" xr:uid="{00000000-0005-0000-0000-0000F8070000}"/>
    <cellStyle name="_KT_TG_1_Qt-HT3PQ1(CauKho)_Song tra-750-tram nen" xfId="1594" xr:uid="{00000000-0005-0000-0000-0000F9070000}"/>
    <cellStyle name="_KT_TG_1_Qt-HT3PQ1(CauKho)_Song tra-750-tram nen 2" xfId="3078" xr:uid="{00000000-0005-0000-0000-0000FA070000}"/>
    <cellStyle name="_KT_TG_1_SCL 07-Phuoc Hau-unicod" xfId="1595" xr:uid="{00000000-0005-0000-0000-0000FB070000}"/>
    <cellStyle name="_KT_TG_1_SCL tram GO DEN - GO THAO" xfId="1596" xr:uid="{00000000-0005-0000-0000-0000FC070000}"/>
    <cellStyle name="_KT_TG_1_SO TRU TRUNG AP SCL GUI ANH PHUONG" xfId="3881" xr:uid="{00000000-0005-0000-0000-0000FD070000}"/>
    <cellStyle name="_KT_TG_1_Song tra-750-tram nen" xfId="1597" xr:uid="{00000000-0005-0000-0000-0000FE070000}"/>
    <cellStyle name="_KT_TG_1_Song tra-750-tram nen 2" xfId="3079" xr:uid="{00000000-0005-0000-0000-0000FF070000}"/>
    <cellStyle name="_KT_TG_1_sua chua lon Thao 1" xfId="3882" xr:uid="{00000000-0005-0000-0000-000000080000}"/>
    <cellStyle name="_KT_TG_1_TDC Tan My" xfId="1598" xr:uid="{00000000-0005-0000-0000-000001080000}"/>
    <cellStyle name="_KT_TG_1_TDC Tan My_Song tra-750-tram nen" xfId="1599" xr:uid="{00000000-0005-0000-0000-000002080000}"/>
    <cellStyle name="_KT_TG_1_TDC Tan My_Song tra-750-tram nen 2" xfId="3080" xr:uid="{00000000-0005-0000-0000-000003080000}"/>
    <cellStyle name="_KT_TG_1_TDT-MAU2" xfId="1600" xr:uid="{00000000-0005-0000-0000-000004080000}"/>
    <cellStyle name="_KT_TG_1_TDT-MAU2_Song tra-750-tram nen" xfId="1601" xr:uid="{00000000-0005-0000-0000-000005080000}"/>
    <cellStyle name="_KT_TG_1_TDT-MAU2_Song tra-750-tram nen 2" xfId="3081" xr:uid="{00000000-0005-0000-0000-000006080000}"/>
    <cellStyle name="_KT_TG_1_THANHLOC Khai Hung" xfId="1602" xr:uid="{00000000-0005-0000-0000-000007080000}"/>
    <cellStyle name="_KT_TG_1_THANHLOC Khai Hung_Book1" xfId="1603" xr:uid="{00000000-0005-0000-0000-000008080000}"/>
    <cellStyle name="_KT_TG_1_THANHLOC Khai Hung_Book1_Song tra-750-tram nen" xfId="1604" xr:uid="{00000000-0005-0000-0000-000009080000}"/>
    <cellStyle name="_KT_TG_1_THANHLOC Khai Hung_Book1_Song tra-750-tram nen 2" xfId="3082" xr:uid="{00000000-0005-0000-0000-00000A080000}"/>
    <cellStyle name="_KT_TG_1_THANHLOC Khai Hung_Song tra-750-tram nen" xfId="1605" xr:uid="{00000000-0005-0000-0000-00000B080000}"/>
    <cellStyle name="_KT_TG_1_THANHLOC Khai Hung_Song tra-750-tram nen 2" xfId="3083" xr:uid="{00000000-0005-0000-0000-00000C080000}"/>
    <cellStyle name="_KT_TG_1_THANHLOC Khai Hung_trinh bao gia" xfId="1606" xr:uid="{00000000-0005-0000-0000-00000D080000}"/>
    <cellStyle name="_KT_TG_1_THANHLOC Khai Hung_trinh bao gia_06 Thuy san Ninh Phuoc (luu 21-06)" xfId="1607" xr:uid="{00000000-0005-0000-0000-00000E080000}"/>
    <cellStyle name="_KT_TG_1_THANHLOC Khai Hung_trinh bao gia_BAO TRO XH-DU TOAN" xfId="1608" xr:uid="{00000000-0005-0000-0000-00000F080000}"/>
    <cellStyle name="_KT_TG_1_THANHLOC Khai Hung_trinh bao gia_BD" xfId="1609" xr:uid="{00000000-0005-0000-0000-000010080000}"/>
    <cellStyle name="_KT_TG_1_THANHLOC Khai Hung_trinh bao gia_DI DOI TRUONG LE QUY DON-HC HOAN CONG" xfId="1610" xr:uid="{00000000-0005-0000-0000-000011080000}"/>
    <cellStyle name="_KT_TG_1_THANHLOC Khai Hung_trinh bao gia_DUONG DOI TAN HOI-NEW 21-8-2006" xfId="1611" xr:uid="{00000000-0005-0000-0000-000012080000}"/>
    <cellStyle name="_KT_TG_1_THANHLOC Khai Hung_trinh bao gia_DUONG DOI THI XA-THU HOI-HC 2-3-07 xls" xfId="1612" xr:uid="{00000000-0005-0000-0000-000013080000}"/>
    <cellStyle name="_KT_TG_1_THANHLOC Khai Hung_trinh bao gia_DUONG DOI THI XA-THU HOI-HC 2-3-07 xls_Song tra-750-tram nen" xfId="1613" xr:uid="{00000000-0005-0000-0000-000014080000}"/>
    <cellStyle name="_KT_TG_1_THANHLOC Khai Hung_trinh bao gia_DUONG DOI THI XA-THU HOI-HC 2-3-07 xls_Song tra-750-tram nen 2" xfId="3084" xr:uid="{00000000-0005-0000-0000-000015080000}"/>
    <cellStyle name="_KT_TG_1_THANHLOC Khai Hung_trinh bao gia_Gia cuoc van chuyen" xfId="1614" xr:uid="{00000000-0005-0000-0000-000016080000}"/>
    <cellStyle name="_KT_TG_1_THANHLOC Khai Hung_trinh bao gia_Khu dan cu SO 2(TK BV-TC)-1" xfId="1615" xr:uid="{00000000-0005-0000-0000-000017080000}"/>
    <cellStyle name="_KT_TG_1_THANHLOC Khai Hung_trinh bao gia_KHU DAN CU SUOI VANG" xfId="1616" xr:uid="{00000000-0005-0000-0000-000018080000}"/>
    <cellStyle name="_KT_TG_1_THANHLOC Khai Hung_trinh bao gia_Khu TDC Phuoc Trung" xfId="1617" xr:uid="{00000000-0005-0000-0000-000019080000}"/>
    <cellStyle name="_KT_TG_1_THANHLOC Khai Hung_trinh bao gia_Pham Van Thanh" xfId="1618" xr:uid="{00000000-0005-0000-0000-00001A080000}"/>
    <cellStyle name="_KT_TG_1_THANHLOC Khai Hung_trinh bao gia_Phuoc My Giai Doan 3-gia moi-14-10-uni" xfId="1619" xr:uid="{00000000-0005-0000-0000-00001B080000}"/>
    <cellStyle name="_KT_TG_1_THANHLOC Khai Hung_trinh bao gia_Song tra-750-tram nen" xfId="1620" xr:uid="{00000000-0005-0000-0000-00001C080000}"/>
    <cellStyle name="_KT_TG_1_THANHLOC Khai Hung_trinh bao gia_Song tra-750-tram nen 2" xfId="3085" xr:uid="{00000000-0005-0000-0000-00001D080000}"/>
    <cellStyle name="_KT_TG_1_THANHLOC Khai Hung_trinh bao gia_Thuan Bac-sua lai" xfId="1621" xr:uid="{00000000-0005-0000-0000-00001E080000}"/>
    <cellStyle name="_KT_TG_1_THANHLOC Khai Hung_trinh bao gia_VKim" xfId="1622" xr:uid="{00000000-0005-0000-0000-00001F080000}"/>
    <cellStyle name="_KT_TG_1_THG" xfId="1623" xr:uid="{00000000-0005-0000-0000-000020080000}"/>
    <cellStyle name="_KT_TG_1_THG_Song tra-750-tram nen" xfId="1624" xr:uid="{00000000-0005-0000-0000-000021080000}"/>
    <cellStyle name="_KT_TG_1_THG_Song tra-750-tram nen 2" xfId="3086" xr:uid="{00000000-0005-0000-0000-000022080000}"/>
    <cellStyle name="_KT_TG_1_TONG KE GO DEN-GO THAO" xfId="1625" xr:uid="{00000000-0005-0000-0000-000023080000}"/>
    <cellStyle name="_KT_TG_1_Tong ke SCL bo sung 2007" xfId="1626" xr:uid="{00000000-0005-0000-0000-000024080000}"/>
    <cellStyle name="_KT_TG_1_Tong ke sua chua DZ dke (xoa tong gd 2)-NLam 2 -Vtu" xfId="1627" xr:uid="{00000000-0005-0000-0000-000025080000}"/>
    <cellStyle name="_KT_TG_1_Tong ke sua chua DZ dke (xoa tong gd 2)-NLam-Vtu" xfId="1628" xr:uid="{00000000-0005-0000-0000-000026080000}"/>
    <cellStyle name="_KT_TG_1_Tong ke sua chua DZ dke (xoa tong gd 2)-VLam 1" xfId="1629" xr:uid="{00000000-0005-0000-0000-000027080000}"/>
    <cellStyle name="_KT_TG_1_Tong ke sua chua DZ dke (xoa tong gd 2)-VLam 2" xfId="1630" xr:uid="{00000000-0005-0000-0000-000028080000}"/>
    <cellStyle name="_KT_TG_1_trinh bao gia" xfId="1631" xr:uid="{00000000-0005-0000-0000-000029080000}"/>
    <cellStyle name="_KT_TG_1_trinh bao gia_06 Thuy san Ninh Phuoc (luu 21-06)" xfId="1632" xr:uid="{00000000-0005-0000-0000-00002A080000}"/>
    <cellStyle name="_KT_TG_1_trinh bao gia_BAO TRO XH-DU TOAN" xfId="1633" xr:uid="{00000000-0005-0000-0000-00002B080000}"/>
    <cellStyle name="_KT_TG_1_trinh bao gia_BD" xfId="1634" xr:uid="{00000000-0005-0000-0000-00002C080000}"/>
    <cellStyle name="_KT_TG_1_trinh bao gia_DI DOI TRUONG LE QUY DON-HC HOAN CONG" xfId="1635" xr:uid="{00000000-0005-0000-0000-00002D080000}"/>
    <cellStyle name="_KT_TG_1_trinh bao gia_DUONG DOI TAN HOI-NEW 21-8-2006" xfId="1636" xr:uid="{00000000-0005-0000-0000-00002E080000}"/>
    <cellStyle name="_KT_TG_1_trinh bao gia_DUONG DOI THI XA-THU HOI-HC 2-3-07 xls" xfId="1637" xr:uid="{00000000-0005-0000-0000-00002F080000}"/>
    <cellStyle name="_KT_TG_1_trinh bao gia_DUONG DOI THI XA-THU HOI-HC 2-3-07 xls_Song tra-750-tram nen" xfId="1638" xr:uid="{00000000-0005-0000-0000-000030080000}"/>
    <cellStyle name="_KT_TG_1_trinh bao gia_DUONG DOI THI XA-THU HOI-HC 2-3-07 xls_Song tra-750-tram nen 2" xfId="3087" xr:uid="{00000000-0005-0000-0000-000031080000}"/>
    <cellStyle name="_KT_TG_1_trinh bao gia_Gia cuoc van chuyen" xfId="1639" xr:uid="{00000000-0005-0000-0000-000032080000}"/>
    <cellStyle name="_KT_TG_1_trinh bao gia_Khu dan cu SO 2(TK BV-TC)-1" xfId="1640" xr:uid="{00000000-0005-0000-0000-000033080000}"/>
    <cellStyle name="_KT_TG_1_trinh bao gia_KHU DAN CU SUOI VANG" xfId="1641" xr:uid="{00000000-0005-0000-0000-000034080000}"/>
    <cellStyle name="_KT_TG_1_trinh bao gia_Khu TDC Phuoc Trung" xfId="1642" xr:uid="{00000000-0005-0000-0000-000035080000}"/>
    <cellStyle name="_KT_TG_1_trinh bao gia_Pham Van Thanh" xfId="1643" xr:uid="{00000000-0005-0000-0000-000036080000}"/>
    <cellStyle name="_KT_TG_1_trinh bao gia_Phuoc My Giai Doan 3-gia moi-14-10-uni" xfId="1644" xr:uid="{00000000-0005-0000-0000-000037080000}"/>
    <cellStyle name="_KT_TG_1_trinh bao gia_Song tra-750-tram nen" xfId="1645" xr:uid="{00000000-0005-0000-0000-000038080000}"/>
    <cellStyle name="_KT_TG_1_trinh bao gia_Song tra-750-tram nen 2" xfId="3088" xr:uid="{00000000-0005-0000-0000-000039080000}"/>
    <cellStyle name="_KT_TG_1_trinh bao gia_Thuan Bac-sua lai" xfId="1646" xr:uid="{00000000-0005-0000-0000-00003A080000}"/>
    <cellStyle name="_KT_TG_1_trinh bao gia_VKim" xfId="1647" xr:uid="{00000000-0005-0000-0000-00003B080000}"/>
    <cellStyle name="_KT_TG_1_Truong day nghe (20.1.06)" xfId="1648" xr:uid="{00000000-0005-0000-0000-00003C080000}"/>
    <cellStyle name="_KT_TG_1_Truong day nghe (20.1.06) 2" xfId="3089" xr:uid="{00000000-0005-0000-0000-00003D080000}"/>
    <cellStyle name="_KT_TG_2" xfId="1649" xr:uid="{00000000-0005-0000-0000-00003E080000}"/>
    <cellStyle name="_KT_TG_2_06 Muoi Tri Hai" xfId="1650" xr:uid="{00000000-0005-0000-0000-00003F080000}"/>
    <cellStyle name="_KT_TG_2_06-scl-PHUOC HAI.HIEU CHINH-lan 2-09-12-05xls" xfId="1651" xr:uid="{00000000-0005-0000-0000-000040080000}"/>
    <cellStyle name="_KT_TG_2_07-PHUOC HA.XLS-1" xfId="1652" xr:uid="{00000000-0005-0000-0000-000041080000}"/>
    <cellStyle name="_KT_TG_2_07-PHUOC HA.XLS-1_Song tra-750-tram nen" xfId="1653" xr:uid="{00000000-0005-0000-0000-000042080000}"/>
    <cellStyle name="_KT_TG_2_07-PHUOC HA.XLS-1_Song tra-750-tram nen 2" xfId="3090" xr:uid="{00000000-0005-0000-0000-000043080000}"/>
    <cellStyle name="_KT_TG_2_07-scl ninh hai 31-05" xfId="3883" xr:uid="{00000000-0005-0000-0000-000044080000}"/>
    <cellStyle name="_KT_TG_2_6.BANG CHI TIET" xfId="1654" xr:uid="{00000000-0005-0000-0000-000045080000}"/>
    <cellStyle name="_KT_TG_2_BANG SO SANH NHAN CONG SC MBA DUYET" xfId="1655" xr:uid="{00000000-0005-0000-0000-000046080000}"/>
    <cellStyle name="_KT_TG_2_BAO CAO KLCT PT2000" xfId="1656" xr:uid="{00000000-0005-0000-0000-000047080000}"/>
    <cellStyle name="_KT_TG_2_BAO CAO KLCT PT2000_Song tra-750-tram nen" xfId="1657" xr:uid="{00000000-0005-0000-0000-000048080000}"/>
    <cellStyle name="_KT_TG_2_BAO CAO KLCT PT2000_Song tra-750-tram nen 2" xfId="3091" xr:uid="{00000000-0005-0000-0000-000049080000}"/>
    <cellStyle name="_KT_TG_2_BAO CAO PT2000" xfId="1658" xr:uid="{00000000-0005-0000-0000-00004A080000}"/>
    <cellStyle name="_KT_TG_2_BAO CAO PT2000_Book1" xfId="1659" xr:uid="{00000000-0005-0000-0000-00004B080000}"/>
    <cellStyle name="_KT_TG_2_BAO CAO PT2000_Book1_Song tra-750-tram nen" xfId="1660" xr:uid="{00000000-0005-0000-0000-00004C080000}"/>
    <cellStyle name="_KT_TG_2_BAO CAO PT2000_Book1_Song tra-750-tram nen 2" xfId="3092" xr:uid="{00000000-0005-0000-0000-00004D080000}"/>
    <cellStyle name="_KT_TG_2_BAO CAO PT2000_DT Ngoc Ha" xfId="1661" xr:uid="{00000000-0005-0000-0000-00004E080000}"/>
    <cellStyle name="_KT_TG_2_BAO CAO PT2000_DT Ngoc Ha_Song tra-750-tram nen" xfId="1662" xr:uid="{00000000-0005-0000-0000-00004F080000}"/>
    <cellStyle name="_KT_TG_2_BAO CAO PT2000_DT Ngoc Ha_Song tra-750-tram nen 2" xfId="3093" xr:uid="{00000000-0005-0000-0000-000050080000}"/>
    <cellStyle name="_KT_TG_2_BAO CAO PT2000_MUOI TINH PHUOC MINH" xfId="1663" xr:uid="{00000000-0005-0000-0000-000051080000}"/>
    <cellStyle name="_KT_TG_2_BAO CAO PT2000_MUOI TINH PHUOC MINH_Song tra-750-tram nen" xfId="1664" xr:uid="{00000000-0005-0000-0000-000052080000}"/>
    <cellStyle name="_KT_TG_2_BAO CAO PT2000_MUOI TINH PHUOC MINH_Song tra-750-tram nen 2" xfId="3094" xr:uid="{00000000-0005-0000-0000-000053080000}"/>
    <cellStyle name="_KT_TG_2_BAO CAO PT2000_Song tra-750-tram nen" xfId="1665" xr:uid="{00000000-0005-0000-0000-000054080000}"/>
    <cellStyle name="_KT_TG_2_BAO CAO PT2000_Song tra-750-tram nen 2" xfId="3095" xr:uid="{00000000-0005-0000-0000-000055080000}"/>
    <cellStyle name="_KT_TG_2_BAO CAO PT2000_TDC Tan My" xfId="1666" xr:uid="{00000000-0005-0000-0000-000056080000}"/>
    <cellStyle name="_KT_TG_2_BAO CAO PT2000_TDC Tan My_Song tra-750-tram nen" xfId="1667" xr:uid="{00000000-0005-0000-0000-000057080000}"/>
    <cellStyle name="_KT_TG_2_BAO CAO PT2000_TDC Tan My_Song tra-750-tram nen 2" xfId="3096" xr:uid="{00000000-0005-0000-0000-000058080000}"/>
    <cellStyle name="_KT_TG_2_BAO CAO PT2000_trinh bao gia" xfId="1668" xr:uid="{00000000-0005-0000-0000-000059080000}"/>
    <cellStyle name="_KT_TG_2_BAO CAO PT2000_trinh bao gia_06 Thuy san Ninh Phuoc (luu 21-06)" xfId="1669" xr:uid="{00000000-0005-0000-0000-00005A080000}"/>
    <cellStyle name="_KT_TG_2_BAO CAO PT2000_trinh bao gia_BAO TRO XH-DU TOAN" xfId="1670" xr:uid="{00000000-0005-0000-0000-00005B080000}"/>
    <cellStyle name="_KT_TG_2_BAO CAO PT2000_trinh bao gia_BD" xfId="1671" xr:uid="{00000000-0005-0000-0000-00005C080000}"/>
    <cellStyle name="_KT_TG_2_BAO CAO PT2000_trinh bao gia_DI DOI TRUONG LE QUY DON-HC HOAN CONG" xfId="1672" xr:uid="{00000000-0005-0000-0000-00005D080000}"/>
    <cellStyle name="_KT_TG_2_BAO CAO PT2000_trinh bao gia_DUONG DOI TAN HOI-NEW 21-8-2006" xfId="1673" xr:uid="{00000000-0005-0000-0000-00005E080000}"/>
    <cellStyle name="_KT_TG_2_BAO CAO PT2000_trinh bao gia_DUONG DOI THI XA-THU HOI-HC 2-3-07 xls" xfId="1674" xr:uid="{00000000-0005-0000-0000-00005F080000}"/>
    <cellStyle name="_KT_TG_2_BAO CAO PT2000_trinh bao gia_DUONG DOI THI XA-THU HOI-HC 2-3-07 xls_Song tra-750-tram nen" xfId="1675" xr:uid="{00000000-0005-0000-0000-000060080000}"/>
    <cellStyle name="_KT_TG_2_BAO CAO PT2000_trinh bao gia_DUONG DOI THI XA-THU HOI-HC 2-3-07 xls_Song tra-750-tram nen 2" xfId="3097" xr:uid="{00000000-0005-0000-0000-000061080000}"/>
    <cellStyle name="_KT_TG_2_BAO CAO PT2000_trinh bao gia_Gia cuoc van chuyen" xfId="1676" xr:uid="{00000000-0005-0000-0000-000062080000}"/>
    <cellStyle name="_KT_TG_2_BAO CAO PT2000_trinh bao gia_Khu dan cu SO 2(TK BV-TC)-1" xfId="1677" xr:uid="{00000000-0005-0000-0000-000063080000}"/>
    <cellStyle name="_KT_TG_2_BAO CAO PT2000_trinh bao gia_KHU DAN CU SUOI VANG" xfId="1678" xr:uid="{00000000-0005-0000-0000-000064080000}"/>
    <cellStyle name="_KT_TG_2_BAO CAO PT2000_trinh bao gia_Khu TDC Phuoc Trung" xfId="1679" xr:uid="{00000000-0005-0000-0000-000065080000}"/>
    <cellStyle name="_KT_TG_2_BAO CAO PT2000_trinh bao gia_Pham Van Thanh" xfId="1680" xr:uid="{00000000-0005-0000-0000-000066080000}"/>
    <cellStyle name="_KT_TG_2_BAO CAO PT2000_trinh bao gia_Phuoc My Giai Doan 3-gia moi-14-10-uni" xfId="1681" xr:uid="{00000000-0005-0000-0000-000067080000}"/>
    <cellStyle name="_KT_TG_2_BAO CAO PT2000_trinh bao gia_Song tra-750-tram nen" xfId="1682" xr:uid="{00000000-0005-0000-0000-000068080000}"/>
    <cellStyle name="_KT_TG_2_BAO CAO PT2000_trinh bao gia_Song tra-750-tram nen 2" xfId="3098" xr:uid="{00000000-0005-0000-0000-000069080000}"/>
    <cellStyle name="_KT_TG_2_BAO CAO PT2000_trinh bao gia_Thuan Bac-sua lai" xfId="1683" xr:uid="{00000000-0005-0000-0000-00006A080000}"/>
    <cellStyle name="_KT_TG_2_BAO CAO PT2000_trinh bao gia_VKim" xfId="1684" xr:uid="{00000000-0005-0000-0000-00006B080000}"/>
    <cellStyle name="_KT_TG_2_BAO CAO PT2000_Truong day nghe (20.1.06)" xfId="1685" xr:uid="{00000000-0005-0000-0000-00006C080000}"/>
    <cellStyle name="_KT_TG_2_BAO CAO PT2000_Truong day nghe (20.1.06) 2" xfId="3099" xr:uid="{00000000-0005-0000-0000-00006D080000}"/>
    <cellStyle name="_KT_TG_2_Bao cao XDCB 2001 - T11 KH dieu chinh 20-11-THAI" xfId="1686" xr:uid="{00000000-0005-0000-0000-00006E080000}"/>
    <cellStyle name="_KT_TG_2_Bao cao XDCB 2001 - T11 KH dieu chinh 20-11-THAI_Book1" xfId="1687" xr:uid="{00000000-0005-0000-0000-00006F080000}"/>
    <cellStyle name="_KT_TG_2_Bao cao XDCB 2001 - T11 KH dieu chinh 20-11-THAI_Book1_Song tra-750-tram nen" xfId="1688" xr:uid="{00000000-0005-0000-0000-000070080000}"/>
    <cellStyle name="_KT_TG_2_Bao cao XDCB 2001 - T11 KH dieu chinh 20-11-THAI_Book1_Song tra-750-tram nen 2" xfId="3100" xr:uid="{00000000-0005-0000-0000-000071080000}"/>
    <cellStyle name="_KT_TG_2_Bao cao XDCB 2001 - T11 KH dieu chinh 20-11-THAI_DT Ngoc Ha" xfId="1689" xr:uid="{00000000-0005-0000-0000-000072080000}"/>
    <cellStyle name="_KT_TG_2_Bao cao XDCB 2001 - T11 KH dieu chinh 20-11-THAI_DT Ngoc Ha_Song tra-750-tram nen" xfId="1690" xr:uid="{00000000-0005-0000-0000-000073080000}"/>
    <cellStyle name="_KT_TG_2_Bao cao XDCB 2001 - T11 KH dieu chinh 20-11-THAI_DT Ngoc Ha_Song tra-750-tram nen 2" xfId="3101" xr:uid="{00000000-0005-0000-0000-000074080000}"/>
    <cellStyle name="_KT_TG_2_Bao cao XDCB 2001 - T11 KH dieu chinh 20-11-THAI_MUOI TINH PHUOC MINH" xfId="1691" xr:uid="{00000000-0005-0000-0000-000075080000}"/>
    <cellStyle name="_KT_TG_2_Bao cao XDCB 2001 - T11 KH dieu chinh 20-11-THAI_MUOI TINH PHUOC MINH_Song tra-750-tram nen" xfId="1692" xr:uid="{00000000-0005-0000-0000-000076080000}"/>
    <cellStyle name="_KT_TG_2_Bao cao XDCB 2001 - T11 KH dieu chinh 20-11-THAI_MUOI TINH PHUOC MINH_Song tra-750-tram nen 2" xfId="3102" xr:uid="{00000000-0005-0000-0000-000077080000}"/>
    <cellStyle name="_KT_TG_2_Bao cao XDCB 2001 - T11 KH dieu chinh 20-11-THAI_Song tra-750-tram nen" xfId="1693" xr:uid="{00000000-0005-0000-0000-000078080000}"/>
    <cellStyle name="_KT_TG_2_Bao cao XDCB 2001 - T11 KH dieu chinh 20-11-THAI_Song tra-750-tram nen 2" xfId="3103" xr:uid="{00000000-0005-0000-0000-000079080000}"/>
    <cellStyle name="_KT_TG_2_Bao cao XDCB 2001 - T11 KH dieu chinh 20-11-THAI_TDC Tan My" xfId="1694" xr:uid="{00000000-0005-0000-0000-00007A080000}"/>
    <cellStyle name="_KT_TG_2_Bao cao XDCB 2001 - T11 KH dieu chinh 20-11-THAI_TDC Tan My_Song tra-750-tram nen" xfId="1695" xr:uid="{00000000-0005-0000-0000-00007B080000}"/>
    <cellStyle name="_KT_TG_2_Bao cao XDCB 2001 - T11 KH dieu chinh 20-11-THAI_TDC Tan My_Song tra-750-tram nen 2" xfId="3104" xr:uid="{00000000-0005-0000-0000-00007C080000}"/>
    <cellStyle name="_KT_TG_2_Bao cao XDCB 2001 - T11 KH dieu chinh 20-11-THAI_trinh bao gia" xfId="1696" xr:uid="{00000000-0005-0000-0000-00007D080000}"/>
    <cellStyle name="_KT_TG_2_Bao cao XDCB 2001 - T11 KH dieu chinh 20-11-THAI_trinh bao gia_06 Thuy san Ninh Phuoc (luu 21-06)" xfId="1697" xr:uid="{00000000-0005-0000-0000-00007E080000}"/>
    <cellStyle name="_KT_TG_2_Bao cao XDCB 2001 - T11 KH dieu chinh 20-11-THAI_trinh bao gia_BAO TRO XH-DU TOAN" xfId="1698" xr:uid="{00000000-0005-0000-0000-00007F080000}"/>
    <cellStyle name="_KT_TG_2_Bao cao XDCB 2001 - T11 KH dieu chinh 20-11-THAI_trinh bao gia_BD" xfId="1699" xr:uid="{00000000-0005-0000-0000-000080080000}"/>
    <cellStyle name="_KT_TG_2_Bao cao XDCB 2001 - T11 KH dieu chinh 20-11-THAI_trinh bao gia_DI DOI TRUONG LE QUY DON-HC HOAN CONG" xfId="1700" xr:uid="{00000000-0005-0000-0000-000081080000}"/>
    <cellStyle name="_KT_TG_2_Bao cao XDCB 2001 - T11 KH dieu chinh 20-11-THAI_trinh bao gia_DUONG DOI TAN HOI-NEW 21-8-2006" xfId="1701" xr:uid="{00000000-0005-0000-0000-000082080000}"/>
    <cellStyle name="_KT_TG_2_Bao cao XDCB 2001 - T11 KH dieu chinh 20-11-THAI_trinh bao gia_DUONG DOI THI XA-THU HOI-HC 2-3-07 xls" xfId="1702" xr:uid="{00000000-0005-0000-0000-000083080000}"/>
    <cellStyle name="_KT_TG_2_Bao cao XDCB 2001 - T11 KH dieu chinh 20-11-THAI_trinh bao gia_DUONG DOI THI XA-THU HOI-HC 2-3-07 xls_Song tra-750-tram nen" xfId="1703" xr:uid="{00000000-0005-0000-0000-000084080000}"/>
    <cellStyle name="_KT_TG_2_Bao cao XDCB 2001 - T11 KH dieu chinh 20-11-THAI_trinh bao gia_DUONG DOI THI XA-THU HOI-HC 2-3-07 xls_Song tra-750-tram nen 2" xfId="3105" xr:uid="{00000000-0005-0000-0000-000085080000}"/>
    <cellStyle name="_KT_TG_2_Bao cao XDCB 2001 - T11 KH dieu chinh 20-11-THAI_trinh bao gia_Gia cuoc van chuyen" xfId="1704" xr:uid="{00000000-0005-0000-0000-000086080000}"/>
    <cellStyle name="_KT_TG_2_Bao cao XDCB 2001 - T11 KH dieu chinh 20-11-THAI_trinh bao gia_Khu dan cu SO 2(TK BV-TC)-1" xfId="1705" xr:uid="{00000000-0005-0000-0000-000087080000}"/>
    <cellStyle name="_KT_TG_2_Bao cao XDCB 2001 - T11 KH dieu chinh 20-11-THAI_trinh bao gia_KHU DAN CU SUOI VANG" xfId="1706" xr:uid="{00000000-0005-0000-0000-000088080000}"/>
    <cellStyle name="_KT_TG_2_Bao cao XDCB 2001 - T11 KH dieu chinh 20-11-THAI_trinh bao gia_Khu TDC Phuoc Trung" xfId="1707" xr:uid="{00000000-0005-0000-0000-000089080000}"/>
    <cellStyle name="_KT_TG_2_Bao cao XDCB 2001 - T11 KH dieu chinh 20-11-THAI_trinh bao gia_Pham Van Thanh" xfId="1708" xr:uid="{00000000-0005-0000-0000-00008A080000}"/>
    <cellStyle name="_KT_TG_2_Bao cao XDCB 2001 - T11 KH dieu chinh 20-11-THAI_trinh bao gia_Phuoc My Giai Doan 3-gia moi-14-10-uni" xfId="1709" xr:uid="{00000000-0005-0000-0000-00008B080000}"/>
    <cellStyle name="_KT_TG_2_Bao cao XDCB 2001 - T11 KH dieu chinh 20-11-THAI_trinh bao gia_Song tra-750-tram nen" xfId="1710" xr:uid="{00000000-0005-0000-0000-00008C080000}"/>
    <cellStyle name="_KT_TG_2_Bao cao XDCB 2001 - T11 KH dieu chinh 20-11-THAI_trinh bao gia_Song tra-750-tram nen 2" xfId="3106" xr:uid="{00000000-0005-0000-0000-00008D080000}"/>
    <cellStyle name="_KT_TG_2_Bao cao XDCB 2001 - T11 KH dieu chinh 20-11-THAI_trinh bao gia_Thuan Bac-sua lai" xfId="1711" xr:uid="{00000000-0005-0000-0000-00008E080000}"/>
    <cellStyle name="_KT_TG_2_Bao cao XDCB 2001 - T11 KH dieu chinh 20-11-THAI_trinh bao gia_VKim" xfId="1712" xr:uid="{00000000-0005-0000-0000-00008F080000}"/>
    <cellStyle name="_KT_TG_2_Bao cao XDCB 2001 - T11 KH dieu chinh 20-11-THAI_Truong day nghe (20.1.06)" xfId="1713" xr:uid="{00000000-0005-0000-0000-000090080000}"/>
    <cellStyle name="_KT_TG_2_Bao cao XDCB 2001 - T11 KH dieu chinh 20-11-THAI_Truong day nghe (20.1.06) 2" xfId="3107" xr:uid="{00000000-0005-0000-0000-000091080000}"/>
    <cellStyle name="_KT_TG_2_Book1" xfId="1714" xr:uid="{00000000-0005-0000-0000-000092080000}"/>
    <cellStyle name="_KT_TG_2_Book1_06 Muoi Tri Hai" xfId="1715" xr:uid="{00000000-0005-0000-0000-000093080000}"/>
    <cellStyle name="_KT_TG_2_Book1_07-PHUOC HA.XLS-1" xfId="1716" xr:uid="{00000000-0005-0000-0000-000094080000}"/>
    <cellStyle name="_KT_TG_2_Book1_07-PHUOC HA.XLS-1_Song tra-750-tram nen" xfId="1717" xr:uid="{00000000-0005-0000-0000-000095080000}"/>
    <cellStyle name="_KT_TG_2_Book1_07-PHUOC HA.XLS-1_Song tra-750-tram nen 2" xfId="3108" xr:uid="{00000000-0005-0000-0000-000096080000}"/>
    <cellStyle name="_KT_TG_2_Book1_1" xfId="1718" xr:uid="{00000000-0005-0000-0000-000097080000}"/>
    <cellStyle name="_KT_TG_2_Book1_1_Song tra-750-tram nen" xfId="1719" xr:uid="{00000000-0005-0000-0000-000098080000}"/>
    <cellStyle name="_KT_TG_2_Book1_1_Song tra-750-tram nen 2" xfId="3109" xr:uid="{00000000-0005-0000-0000-000099080000}"/>
    <cellStyle name="_KT_TG_2_Book1_2" xfId="1720" xr:uid="{00000000-0005-0000-0000-00009A080000}"/>
    <cellStyle name="_KT_TG_2_Book1_2_Song tra-750-tram nen" xfId="1721" xr:uid="{00000000-0005-0000-0000-00009B080000}"/>
    <cellStyle name="_KT_TG_2_Book1_2_Song tra-750-tram nen 2" xfId="3110" xr:uid="{00000000-0005-0000-0000-00009C080000}"/>
    <cellStyle name="_KT_TG_2_Book1_2_trinh bao gia" xfId="1722" xr:uid="{00000000-0005-0000-0000-00009D080000}"/>
    <cellStyle name="_KT_TG_2_Book1_2_trinh bao gia_Song tra-750-tram nen" xfId="1723" xr:uid="{00000000-0005-0000-0000-00009E080000}"/>
    <cellStyle name="_KT_TG_2_Book1_2_trinh bao gia_Song tra-750-tram nen 2" xfId="3111" xr:uid="{00000000-0005-0000-0000-00009F080000}"/>
    <cellStyle name="_KT_TG_2_Book1_3" xfId="1724" xr:uid="{00000000-0005-0000-0000-0000A0080000}"/>
    <cellStyle name="_KT_TG_2_Book1_3_DT Ngoc Ha" xfId="1725" xr:uid="{00000000-0005-0000-0000-0000A1080000}"/>
    <cellStyle name="_KT_TG_2_Book1_3_DT Ngoc Ha_Song tra-750-tram nen" xfId="1726" xr:uid="{00000000-0005-0000-0000-0000A2080000}"/>
    <cellStyle name="_KT_TG_2_Book1_3_DT Ngoc Ha_Song tra-750-tram nen 2" xfId="3112" xr:uid="{00000000-0005-0000-0000-0000A3080000}"/>
    <cellStyle name="_KT_TG_2_Book1_3_Song tra-750-tram nen" xfId="1727" xr:uid="{00000000-0005-0000-0000-0000A4080000}"/>
    <cellStyle name="_KT_TG_2_Book1_3_trinh bao gia" xfId="1728" xr:uid="{00000000-0005-0000-0000-0000A5080000}"/>
    <cellStyle name="_KT_TG_2_Book1_3_trinh bao gia_Song tra-750-tram nen" xfId="1729" xr:uid="{00000000-0005-0000-0000-0000A6080000}"/>
    <cellStyle name="_KT_TG_2_Book1_4" xfId="1730" xr:uid="{00000000-0005-0000-0000-0000A7080000}"/>
    <cellStyle name="_KT_TG_2_Book1_6.BANG CHI TIET" xfId="1731" xr:uid="{00000000-0005-0000-0000-0000A8080000}"/>
    <cellStyle name="_KT_TG_2_Book1_Book1" xfId="1732" xr:uid="{00000000-0005-0000-0000-0000A9080000}"/>
    <cellStyle name="_KT_TG_2_Book1_Book1_Song tra-750-tram nen" xfId="1733" xr:uid="{00000000-0005-0000-0000-0000AA080000}"/>
    <cellStyle name="_KT_TG_2_Book1_Book1_Song tra-750-tram nen 2" xfId="3113" xr:uid="{00000000-0005-0000-0000-0000AB080000}"/>
    <cellStyle name="_KT_TG_2_Book1_DT Ngoc Ha" xfId="1734" xr:uid="{00000000-0005-0000-0000-0000AC080000}"/>
    <cellStyle name="_KT_TG_2_Book1_DT Ngoc Ha_Song tra-750-tram nen" xfId="1735" xr:uid="{00000000-0005-0000-0000-0000AD080000}"/>
    <cellStyle name="_KT_TG_2_Book1_DT Ngoc Ha_Song tra-750-tram nen 2" xfId="3114" xr:uid="{00000000-0005-0000-0000-0000AE080000}"/>
    <cellStyle name="_KT_TG_2_Book1_Dutoan NC 22 khu vuc san bay  09-2006moi" xfId="3884" xr:uid="{00000000-0005-0000-0000-0000AF080000}"/>
    <cellStyle name="_KT_TG_2_Book1_KH2-06 PT LHT Binh Thanh 2003" xfId="1736" xr:uid="{00000000-0005-0000-0000-0000B0080000}"/>
    <cellStyle name="_KT_TG_2_Book1_KH2-06 PT LHT Binh Thanh 2003_Song tra-750-tram nen" xfId="1737" xr:uid="{00000000-0005-0000-0000-0000B1080000}"/>
    <cellStyle name="_KT_TG_2_Book1_KH2-06 PT LHT Binh Thanh 2003_Song tra-750-tram nen 2" xfId="3115" xr:uid="{00000000-0005-0000-0000-0000B2080000}"/>
    <cellStyle name="_KT_TG_2_Book1_MUOI TINH PHUOC MINH" xfId="1738" xr:uid="{00000000-0005-0000-0000-0000B3080000}"/>
    <cellStyle name="_KT_TG_2_Book1_MUOI TINH PHUOC MINH_Song tra-750-tram nen" xfId="1739" xr:uid="{00000000-0005-0000-0000-0000B4080000}"/>
    <cellStyle name="_KT_TG_2_Book1_MUOI TINH PHUOC MINH_Song tra-750-tram nen 2" xfId="3116" xr:uid="{00000000-0005-0000-0000-0000B5080000}"/>
    <cellStyle name="_KT_TG_2_Book1_Song tra-750-tram nen" xfId="1740" xr:uid="{00000000-0005-0000-0000-0000B6080000}"/>
    <cellStyle name="_KT_TG_2_Book1_Song tra-750-tram nen 2" xfId="3117" xr:uid="{00000000-0005-0000-0000-0000B7080000}"/>
    <cellStyle name="_KT_TG_2_Book1_TDC Tan My" xfId="1741" xr:uid="{00000000-0005-0000-0000-0000B8080000}"/>
    <cellStyle name="_KT_TG_2_Book1_TDC Tan My_Song tra-750-tram nen" xfId="1742" xr:uid="{00000000-0005-0000-0000-0000B9080000}"/>
    <cellStyle name="_KT_TG_2_Book1_TDC Tan My_Song tra-750-tram nen 2" xfId="3118" xr:uid="{00000000-0005-0000-0000-0000BA080000}"/>
    <cellStyle name="_KT_TG_2_Book1_THANHLOC Khai Hung" xfId="1743" xr:uid="{00000000-0005-0000-0000-0000BB080000}"/>
    <cellStyle name="_KT_TG_2_Book1_THANHLOC Khai Hung_Song tra-750-tram nen" xfId="1744" xr:uid="{00000000-0005-0000-0000-0000BC080000}"/>
    <cellStyle name="_KT_TG_2_Book1_THANHLOC Khai Hung_Song tra-750-tram nen 2" xfId="3119" xr:uid="{00000000-0005-0000-0000-0000BD080000}"/>
    <cellStyle name="_KT_TG_2_Book1_Truong day nghe (20.1.06)" xfId="1745" xr:uid="{00000000-0005-0000-0000-0000BE080000}"/>
    <cellStyle name="_KT_TG_2_Book1_Truong day nghe (20.1.06) 2" xfId="3120" xr:uid="{00000000-0005-0000-0000-0000BF080000}"/>
    <cellStyle name="_KT_TG_2_DAU NOI PL-CL TAI PHU LAMHC" xfId="1746" xr:uid="{00000000-0005-0000-0000-0000C0080000}"/>
    <cellStyle name="_KT_TG_2_DAU NOI PL-CL TAI PHU LAMHC_Song tra-750-tram nen" xfId="1747" xr:uid="{00000000-0005-0000-0000-0000C1080000}"/>
    <cellStyle name="_KT_TG_2_DAU NOI PL-CL TAI PHU LAMHC_Song tra-750-tram nen 2" xfId="3121" xr:uid="{00000000-0005-0000-0000-0000C2080000}"/>
    <cellStyle name="_KT_TG_2_Dien Ke thon Phuoc Nhon 2" xfId="1748" xr:uid="{00000000-0005-0000-0000-0000C3080000}"/>
    <cellStyle name="_KT_TG_2_DT Ngoc Ha" xfId="1749" xr:uid="{00000000-0005-0000-0000-0000C4080000}"/>
    <cellStyle name="_KT_TG_2_DT Ngoc Ha_Song tra-750-tram nen" xfId="1750" xr:uid="{00000000-0005-0000-0000-0000C5080000}"/>
    <cellStyle name="_KT_TG_2_DT Ngoc Ha_Song tra-750-tram nen 2" xfId="3122" xr:uid="{00000000-0005-0000-0000-0000C6080000}"/>
    <cellStyle name="_KT_TG_2_DTCDT MR.2N110.HOCMON.TDTOAN.CCUNG" xfId="1751" xr:uid="{00000000-0005-0000-0000-0000C7080000}"/>
    <cellStyle name="_KT_TG_2_DTCDT MR.2N110.HOCMON.TDTOAN.CCUNG_Song tra-750-tram nen" xfId="1752" xr:uid="{00000000-0005-0000-0000-0000C8080000}"/>
    <cellStyle name="_KT_TG_2_DTCDT MR.2N110.HOCMON.TDTOAN.CCUNG_Song tra-750-tram nen 2" xfId="3123" xr:uid="{00000000-0005-0000-0000-0000C9080000}"/>
    <cellStyle name="_KT_TG_2_Du toan thay ong ep va da composite sua" xfId="3885" xr:uid="{00000000-0005-0000-0000-0000CA080000}"/>
    <cellStyle name="_KT_TG_2_Du toan tram GDEN2 giai doan 2" xfId="1753" xr:uid="{00000000-0005-0000-0000-0000CB080000}"/>
    <cellStyle name="_KT_TG_2_Du toan tram PHUOC NHON 2 giai doan 2" xfId="1754" xr:uid="{00000000-0005-0000-0000-0000CC080000}"/>
    <cellStyle name="_KT_TG_2_Dutoan NC 22 khu vuc san bay  09-2006moi" xfId="3886" xr:uid="{00000000-0005-0000-0000-0000CD080000}"/>
    <cellStyle name="_KT_TG_2_DUTOAN_DAMDOI_PD1" xfId="1755" xr:uid="{00000000-0005-0000-0000-0000CE080000}"/>
    <cellStyle name="_KT_TG_2_DUTOAN_DAMDOI_PD1_Song tra-750-tram nen" xfId="1756" xr:uid="{00000000-0005-0000-0000-0000CF080000}"/>
    <cellStyle name="_KT_TG_2_DUTOAN_DAMDOI_PD1_Song tra-750-tram nen 2" xfId="3124" xr:uid="{00000000-0005-0000-0000-0000D0080000}"/>
    <cellStyle name="_KT_TG_2_KH2-06 PT LHT Binh Thanh 2003" xfId="1757" xr:uid="{00000000-0005-0000-0000-0000D1080000}"/>
    <cellStyle name="_KT_TG_2_KH2-06 PT LHT Binh Thanh 2003_Book1" xfId="1758" xr:uid="{00000000-0005-0000-0000-0000D2080000}"/>
    <cellStyle name="_KT_TG_2_KH2-06 PT LHT Binh Thanh 2003_Book1_Song tra-750-tram nen" xfId="1759" xr:uid="{00000000-0005-0000-0000-0000D3080000}"/>
    <cellStyle name="_KT_TG_2_KH2-06 PT LHT Binh Thanh 2003_Book1_Song tra-750-tram nen 2" xfId="3125" xr:uid="{00000000-0005-0000-0000-0000D4080000}"/>
    <cellStyle name="_KT_TG_2_KH2-06 PT LHT Binh Thanh 2003_Song tra-750-tram nen" xfId="1760" xr:uid="{00000000-0005-0000-0000-0000D5080000}"/>
    <cellStyle name="_KT_TG_2_KH2-06 PT LHT Binh Thanh 2003_Song tra-750-tram nen 2" xfId="3126" xr:uid="{00000000-0005-0000-0000-0000D6080000}"/>
    <cellStyle name="_KT_TG_2_KH2-06 PT LHT Binh Thanh 2003_trinh bao gia" xfId="1761" xr:uid="{00000000-0005-0000-0000-0000D7080000}"/>
    <cellStyle name="_KT_TG_2_KH2-06 PT LHT Binh Thanh 2003_trinh bao gia_06 Thuy san Ninh Phuoc (luu 21-06)" xfId="1762" xr:uid="{00000000-0005-0000-0000-0000D8080000}"/>
    <cellStyle name="_KT_TG_2_KH2-06 PT LHT Binh Thanh 2003_trinh bao gia_BAO TRO XH-DU TOAN" xfId="1763" xr:uid="{00000000-0005-0000-0000-0000D9080000}"/>
    <cellStyle name="_KT_TG_2_KH2-06 PT LHT Binh Thanh 2003_trinh bao gia_BD" xfId="1764" xr:uid="{00000000-0005-0000-0000-0000DA080000}"/>
    <cellStyle name="_KT_TG_2_KH2-06 PT LHT Binh Thanh 2003_trinh bao gia_DI DOI TRUONG LE QUY DON-HC HOAN CONG" xfId="1765" xr:uid="{00000000-0005-0000-0000-0000DB080000}"/>
    <cellStyle name="_KT_TG_2_KH2-06 PT LHT Binh Thanh 2003_trinh bao gia_DUONG DOI TAN HOI-NEW 21-8-2006" xfId="1766" xr:uid="{00000000-0005-0000-0000-0000DC080000}"/>
    <cellStyle name="_KT_TG_2_KH2-06 PT LHT Binh Thanh 2003_trinh bao gia_DUONG DOI THI XA-THU HOI-HC 2-3-07 xls" xfId="1767" xr:uid="{00000000-0005-0000-0000-0000DD080000}"/>
    <cellStyle name="_KT_TG_2_KH2-06 PT LHT Binh Thanh 2003_trinh bao gia_DUONG DOI THI XA-THU HOI-HC 2-3-07 xls_Song tra-750-tram nen" xfId="1768" xr:uid="{00000000-0005-0000-0000-0000DE080000}"/>
    <cellStyle name="_KT_TG_2_KH2-06 PT LHT Binh Thanh 2003_trinh bao gia_DUONG DOI THI XA-THU HOI-HC 2-3-07 xls_Song tra-750-tram nen 2" xfId="3127" xr:uid="{00000000-0005-0000-0000-0000DF080000}"/>
    <cellStyle name="_KT_TG_2_KH2-06 PT LHT Binh Thanh 2003_trinh bao gia_Gia cuoc van chuyen" xfId="1769" xr:uid="{00000000-0005-0000-0000-0000E0080000}"/>
    <cellStyle name="_KT_TG_2_KH2-06 PT LHT Binh Thanh 2003_trinh bao gia_Khu dan cu SO 2(TK BV-TC)-1" xfId="1770" xr:uid="{00000000-0005-0000-0000-0000E1080000}"/>
    <cellStyle name="_KT_TG_2_KH2-06 PT LHT Binh Thanh 2003_trinh bao gia_KHU DAN CU SUOI VANG" xfId="1771" xr:uid="{00000000-0005-0000-0000-0000E2080000}"/>
    <cellStyle name="_KT_TG_2_KH2-06 PT LHT Binh Thanh 2003_trinh bao gia_Khu TDC Phuoc Trung" xfId="1772" xr:uid="{00000000-0005-0000-0000-0000E3080000}"/>
    <cellStyle name="_KT_TG_2_KH2-06 PT LHT Binh Thanh 2003_trinh bao gia_Pham Van Thanh" xfId="1773" xr:uid="{00000000-0005-0000-0000-0000E4080000}"/>
    <cellStyle name="_KT_TG_2_KH2-06 PT LHT Binh Thanh 2003_trinh bao gia_Phuoc My Giai Doan 3-gia moi-14-10-uni" xfId="1774" xr:uid="{00000000-0005-0000-0000-0000E5080000}"/>
    <cellStyle name="_KT_TG_2_KH2-06 PT LHT Binh Thanh 2003_trinh bao gia_Song tra-750-tram nen" xfId="1775" xr:uid="{00000000-0005-0000-0000-0000E6080000}"/>
    <cellStyle name="_KT_TG_2_KH2-06 PT LHT Binh Thanh 2003_trinh bao gia_Song tra-750-tram nen 2" xfId="3128" xr:uid="{00000000-0005-0000-0000-0000E7080000}"/>
    <cellStyle name="_KT_TG_2_KH2-06 PT LHT Binh Thanh 2003_trinh bao gia_Thuan Bac-sua lai" xfId="1776" xr:uid="{00000000-0005-0000-0000-0000E8080000}"/>
    <cellStyle name="_KT_TG_2_KH2-06 PT LHT Binh Thanh 2003_trinh bao gia_VKim" xfId="1777" xr:uid="{00000000-0005-0000-0000-0000E9080000}"/>
    <cellStyle name="_KT_TG_2_KINH DOANH_ SCL 2015" xfId="3887" xr:uid="{00000000-0005-0000-0000-0000EA080000}"/>
    <cellStyle name="_KT_TG_2_Lora-tungchau" xfId="1778" xr:uid="{00000000-0005-0000-0000-0000EB080000}"/>
    <cellStyle name="_KT_TG_2_Lora-tungchau_Song tra-750-tram nen" xfId="1779" xr:uid="{00000000-0005-0000-0000-0000EC080000}"/>
    <cellStyle name="_KT_TG_2_Lora-tungchau_Song tra-750-tram nen 2" xfId="3129" xr:uid="{00000000-0005-0000-0000-0000ED080000}"/>
    <cellStyle name="_KT_TG_2_MUOI TINH PHUOC MINH" xfId="1780" xr:uid="{00000000-0005-0000-0000-0000EE080000}"/>
    <cellStyle name="_KT_TG_2_MUOI TINH PHUOC MINH_Song tra-750-tram nen" xfId="1781" xr:uid="{00000000-0005-0000-0000-0000EF080000}"/>
    <cellStyle name="_KT_TG_2_MUOI TINH PHUOC MINH_Song tra-750-tram nen 2" xfId="3130" xr:uid="{00000000-0005-0000-0000-0000F0080000}"/>
    <cellStyle name="_KT_TG_2_PGIA-phieu tham tra Kho bac" xfId="1782" xr:uid="{00000000-0005-0000-0000-0000F1080000}"/>
    <cellStyle name="_KT_TG_2_PGIA-phieu tham tra Kho bac_Book1" xfId="1783" xr:uid="{00000000-0005-0000-0000-0000F2080000}"/>
    <cellStyle name="_KT_TG_2_PGIA-phieu tham tra Kho bac_Book1_Song tra-750-tram nen" xfId="1784" xr:uid="{00000000-0005-0000-0000-0000F3080000}"/>
    <cellStyle name="_KT_TG_2_PGIA-phieu tham tra Kho bac_Book1_Song tra-750-tram nen 2" xfId="3131" xr:uid="{00000000-0005-0000-0000-0000F4080000}"/>
    <cellStyle name="_KT_TG_2_PGIA-phieu tham tra Kho bac_DT Ngoc Ha" xfId="1785" xr:uid="{00000000-0005-0000-0000-0000F5080000}"/>
    <cellStyle name="_KT_TG_2_PGIA-phieu tham tra Kho bac_DT Ngoc Ha_Song tra-750-tram nen" xfId="1786" xr:uid="{00000000-0005-0000-0000-0000F6080000}"/>
    <cellStyle name="_KT_TG_2_PGIA-phieu tham tra Kho bac_DT Ngoc Ha_Song tra-750-tram nen 2" xfId="3132" xr:uid="{00000000-0005-0000-0000-0000F7080000}"/>
    <cellStyle name="_KT_TG_2_PGIA-phieu tham tra Kho bac_MUOI TINH PHUOC MINH" xfId="1787" xr:uid="{00000000-0005-0000-0000-0000F8080000}"/>
    <cellStyle name="_KT_TG_2_PGIA-phieu tham tra Kho bac_MUOI TINH PHUOC MINH_Song tra-750-tram nen" xfId="1788" xr:uid="{00000000-0005-0000-0000-0000F9080000}"/>
    <cellStyle name="_KT_TG_2_PGIA-phieu tham tra Kho bac_MUOI TINH PHUOC MINH_Song tra-750-tram nen 2" xfId="3133" xr:uid="{00000000-0005-0000-0000-0000FA080000}"/>
    <cellStyle name="_KT_TG_2_PGIA-phieu tham tra Kho bac_Song tra-750-tram nen" xfId="1789" xr:uid="{00000000-0005-0000-0000-0000FB080000}"/>
    <cellStyle name="_KT_TG_2_PGIA-phieu tham tra Kho bac_Song tra-750-tram nen 2" xfId="3134" xr:uid="{00000000-0005-0000-0000-0000FC080000}"/>
    <cellStyle name="_KT_TG_2_PGIA-phieu tham tra Kho bac_TDC Tan My" xfId="1790" xr:uid="{00000000-0005-0000-0000-0000FD080000}"/>
    <cellStyle name="_KT_TG_2_PGIA-phieu tham tra Kho bac_TDC Tan My_Song tra-750-tram nen" xfId="1791" xr:uid="{00000000-0005-0000-0000-0000FE080000}"/>
    <cellStyle name="_KT_TG_2_PGIA-phieu tham tra Kho bac_TDC Tan My_Song tra-750-tram nen 2" xfId="3135" xr:uid="{00000000-0005-0000-0000-0000FF080000}"/>
    <cellStyle name="_KT_TG_2_PGIA-phieu tham tra Kho bac_trinh bao gia" xfId="1792" xr:uid="{00000000-0005-0000-0000-000000090000}"/>
    <cellStyle name="_KT_TG_2_PGIA-phieu tham tra Kho bac_trinh bao gia_06 Thuy san Ninh Phuoc (luu 21-06)" xfId="1793" xr:uid="{00000000-0005-0000-0000-000001090000}"/>
    <cellStyle name="_KT_TG_2_PGIA-phieu tham tra Kho bac_trinh bao gia_BAO TRO XH-DU TOAN" xfId="1794" xr:uid="{00000000-0005-0000-0000-000002090000}"/>
    <cellStyle name="_KT_TG_2_PGIA-phieu tham tra Kho bac_trinh bao gia_BD" xfId="1795" xr:uid="{00000000-0005-0000-0000-000003090000}"/>
    <cellStyle name="_KT_TG_2_PGIA-phieu tham tra Kho bac_trinh bao gia_DI DOI TRUONG LE QUY DON-HC HOAN CONG" xfId="1796" xr:uid="{00000000-0005-0000-0000-000004090000}"/>
    <cellStyle name="_KT_TG_2_PGIA-phieu tham tra Kho bac_trinh bao gia_DUONG DOI TAN HOI-NEW 21-8-2006" xfId="1797" xr:uid="{00000000-0005-0000-0000-000005090000}"/>
    <cellStyle name="_KT_TG_2_PGIA-phieu tham tra Kho bac_trinh bao gia_DUONG DOI THI XA-THU HOI-HC 2-3-07 xls" xfId="1798" xr:uid="{00000000-0005-0000-0000-000006090000}"/>
    <cellStyle name="_KT_TG_2_PGIA-phieu tham tra Kho bac_trinh bao gia_DUONG DOI THI XA-THU HOI-HC 2-3-07 xls_Song tra-750-tram nen" xfId="1799" xr:uid="{00000000-0005-0000-0000-000007090000}"/>
    <cellStyle name="_KT_TG_2_PGIA-phieu tham tra Kho bac_trinh bao gia_DUONG DOI THI XA-THU HOI-HC 2-3-07 xls_Song tra-750-tram nen 2" xfId="3136" xr:uid="{00000000-0005-0000-0000-000008090000}"/>
    <cellStyle name="_KT_TG_2_PGIA-phieu tham tra Kho bac_trinh bao gia_Gia cuoc van chuyen" xfId="1800" xr:uid="{00000000-0005-0000-0000-000009090000}"/>
    <cellStyle name="_KT_TG_2_PGIA-phieu tham tra Kho bac_trinh bao gia_Khu dan cu SO 2(TK BV-TC)-1" xfId="1801" xr:uid="{00000000-0005-0000-0000-00000A090000}"/>
    <cellStyle name="_KT_TG_2_PGIA-phieu tham tra Kho bac_trinh bao gia_KHU DAN CU SUOI VANG" xfId="1802" xr:uid="{00000000-0005-0000-0000-00000B090000}"/>
    <cellStyle name="_KT_TG_2_PGIA-phieu tham tra Kho bac_trinh bao gia_Khu TDC Phuoc Trung" xfId="1803" xr:uid="{00000000-0005-0000-0000-00000C090000}"/>
    <cellStyle name="_KT_TG_2_PGIA-phieu tham tra Kho bac_trinh bao gia_Pham Van Thanh" xfId="1804" xr:uid="{00000000-0005-0000-0000-00000D090000}"/>
    <cellStyle name="_KT_TG_2_PGIA-phieu tham tra Kho bac_trinh bao gia_Phuoc My Giai Doan 3-gia moi-14-10-uni" xfId="1805" xr:uid="{00000000-0005-0000-0000-00000E090000}"/>
    <cellStyle name="_KT_TG_2_PGIA-phieu tham tra Kho bac_trinh bao gia_Song tra-750-tram nen" xfId="1806" xr:uid="{00000000-0005-0000-0000-00000F090000}"/>
    <cellStyle name="_KT_TG_2_PGIA-phieu tham tra Kho bac_trinh bao gia_Song tra-750-tram nen 2" xfId="3137" xr:uid="{00000000-0005-0000-0000-000010090000}"/>
    <cellStyle name="_KT_TG_2_PGIA-phieu tham tra Kho bac_trinh bao gia_Thuan Bac-sua lai" xfId="1807" xr:uid="{00000000-0005-0000-0000-000011090000}"/>
    <cellStyle name="_KT_TG_2_PGIA-phieu tham tra Kho bac_trinh bao gia_VKim" xfId="1808" xr:uid="{00000000-0005-0000-0000-000012090000}"/>
    <cellStyle name="_KT_TG_2_PGIA-phieu tham tra Kho bac_Truong day nghe (20.1.06)" xfId="1809" xr:uid="{00000000-0005-0000-0000-000013090000}"/>
    <cellStyle name="_KT_TG_2_PGIA-phieu tham tra Kho bac_Truong day nghe (20.1.06) 2" xfId="3138" xr:uid="{00000000-0005-0000-0000-000014090000}"/>
    <cellStyle name="_KT_TG_2_PHUOC HUU" xfId="1810" xr:uid="{00000000-0005-0000-0000-000015090000}"/>
    <cellStyle name="_KT_TG_2_PHUOC HUU_Song tra-750-tram nen" xfId="1811" xr:uid="{00000000-0005-0000-0000-000016090000}"/>
    <cellStyle name="_KT_TG_2_PHUOC HUU_Song tra-750-tram nen 2" xfId="3139" xr:uid="{00000000-0005-0000-0000-000017090000}"/>
    <cellStyle name="_KT_TG_2_PT02-02" xfId="1812" xr:uid="{00000000-0005-0000-0000-000018090000}"/>
    <cellStyle name="_KT_TG_2_PT02-02_Book1" xfId="1813" xr:uid="{00000000-0005-0000-0000-000019090000}"/>
    <cellStyle name="_KT_TG_2_PT02-02_Book1_Song tra-750-tram nen" xfId="1814" xr:uid="{00000000-0005-0000-0000-00001A090000}"/>
    <cellStyle name="_KT_TG_2_PT02-02_Book1_Song tra-750-tram nen 2" xfId="3140" xr:uid="{00000000-0005-0000-0000-00001B090000}"/>
    <cellStyle name="_KT_TG_2_PT02-02_DT Ngoc Ha" xfId="1815" xr:uid="{00000000-0005-0000-0000-00001C090000}"/>
    <cellStyle name="_KT_TG_2_PT02-02_DT Ngoc Ha_Song tra-750-tram nen" xfId="1816" xr:uid="{00000000-0005-0000-0000-00001D090000}"/>
    <cellStyle name="_KT_TG_2_PT02-02_DT Ngoc Ha_Song tra-750-tram nen 2" xfId="3141" xr:uid="{00000000-0005-0000-0000-00001E090000}"/>
    <cellStyle name="_KT_TG_2_PT02-02_MUOI TINH PHUOC MINH" xfId="1817" xr:uid="{00000000-0005-0000-0000-00001F090000}"/>
    <cellStyle name="_KT_TG_2_PT02-02_MUOI TINH PHUOC MINH_Song tra-750-tram nen" xfId="1818" xr:uid="{00000000-0005-0000-0000-000020090000}"/>
    <cellStyle name="_KT_TG_2_PT02-02_MUOI TINH PHUOC MINH_Song tra-750-tram nen 2" xfId="3142" xr:uid="{00000000-0005-0000-0000-000021090000}"/>
    <cellStyle name="_KT_TG_2_PT02-02_Song tra-750-tram nen" xfId="1819" xr:uid="{00000000-0005-0000-0000-000022090000}"/>
    <cellStyle name="_KT_TG_2_PT02-02_Song tra-750-tram nen 2" xfId="3143" xr:uid="{00000000-0005-0000-0000-000023090000}"/>
    <cellStyle name="_KT_TG_2_PT02-02_TDC Tan My" xfId="1820" xr:uid="{00000000-0005-0000-0000-000024090000}"/>
    <cellStyle name="_KT_TG_2_PT02-02_TDC Tan My_Song tra-750-tram nen" xfId="1821" xr:uid="{00000000-0005-0000-0000-000025090000}"/>
    <cellStyle name="_KT_TG_2_PT02-02_TDC Tan My_Song tra-750-tram nen 2" xfId="3144" xr:uid="{00000000-0005-0000-0000-000026090000}"/>
    <cellStyle name="_KT_TG_2_PT02-02_trinh bao gia" xfId="1822" xr:uid="{00000000-0005-0000-0000-000027090000}"/>
    <cellStyle name="_KT_TG_2_PT02-02_trinh bao gia_06 Thuy san Ninh Phuoc (luu 21-06)" xfId="1823" xr:uid="{00000000-0005-0000-0000-000028090000}"/>
    <cellStyle name="_KT_TG_2_PT02-02_trinh bao gia_BAO TRO XH-DU TOAN" xfId="1824" xr:uid="{00000000-0005-0000-0000-000029090000}"/>
    <cellStyle name="_KT_TG_2_PT02-02_trinh bao gia_BD" xfId="1825" xr:uid="{00000000-0005-0000-0000-00002A090000}"/>
    <cellStyle name="_KT_TG_2_PT02-02_trinh bao gia_DI DOI TRUONG LE QUY DON-HC HOAN CONG" xfId="1826" xr:uid="{00000000-0005-0000-0000-00002B090000}"/>
    <cellStyle name="_KT_TG_2_PT02-02_trinh bao gia_DUONG DOI TAN HOI-NEW 21-8-2006" xfId="1827" xr:uid="{00000000-0005-0000-0000-00002C090000}"/>
    <cellStyle name="_KT_TG_2_PT02-02_trinh bao gia_DUONG DOI THI XA-THU HOI-HC 2-3-07 xls" xfId="1828" xr:uid="{00000000-0005-0000-0000-00002D090000}"/>
    <cellStyle name="_KT_TG_2_PT02-02_trinh bao gia_DUONG DOI THI XA-THU HOI-HC 2-3-07 xls_Song tra-750-tram nen" xfId="1829" xr:uid="{00000000-0005-0000-0000-00002E090000}"/>
    <cellStyle name="_KT_TG_2_PT02-02_trinh bao gia_DUONG DOI THI XA-THU HOI-HC 2-3-07 xls_Song tra-750-tram nen 2" xfId="3145" xr:uid="{00000000-0005-0000-0000-00002F090000}"/>
    <cellStyle name="_KT_TG_2_PT02-02_trinh bao gia_Gia cuoc van chuyen" xfId="1830" xr:uid="{00000000-0005-0000-0000-000030090000}"/>
    <cellStyle name="_KT_TG_2_PT02-02_trinh bao gia_Khu dan cu SO 2(TK BV-TC)-1" xfId="1831" xr:uid="{00000000-0005-0000-0000-000031090000}"/>
    <cellStyle name="_KT_TG_2_PT02-02_trinh bao gia_KHU DAN CU SUOI VANG" xfId="1832" xr:uid="{00000000-0005-0000-0000-000032090000}"/>
    <cellStyle name="_KT_TG_2_PT02-02_trinh bao gia_Khu TDC Phuoc Trung" xfId="1833" xr:uid="{00000000-0005-0000-0000-000033090000}"/>
    <cellStyle name="_KT_TG_2_PT02-02_trinh bao gia_Pham Van Thanh" xfId="1834" xr:uid="{00000000-0005-0000-0000-000034090000}"/>
    <cellStyle name="_KT_TG_2_PT02-02_trinh bao gia_Phuoc My Giai Doan 3-gia moi-14-10-uni" xfId="1835" xr:uid="{00000000-0005-0000-0000-000035090000}"/>
    <cellStyle name="_KT_TG_2_PT02-02_trinh bao gia_Song tra-750-tram nen" xfId="1836" xr:uid="{00000000-0005-0000-0000-000036090000}"/>
    <cellStyle name="_KT_TG_2_PT02-02_trinh bao gia_Song tra-750-tram nen 2" xfId="3146" xr:uid="{00000000-0005-0000-0000-000037090000}"/>
    <cellStyle name="_KT_TG_2_PT02-02_trinh bao gia_Thuan Bac-sua lai" xfId="1837" xr:uid="{00000000-0005-0000-0000-000038090000}"/>
    <cellStyle name="_KT_TG_2_PT02-02_trinh bao gia_VKim" xfId="1838" xr:uid="{00000000-0005-0000-0000-000039090000}"/>
    <cellStyle name="_KT_TG_2_PT02-02_Truong day nghe (20.1.06)" xfId="1839" xr:uid="{00000000-0005-0000-0000-00003A090000}"/>
    <cellStyle name="_KT_TG_2_PT02-02_Truong day nghe (20.1.06) 2" xfId="3147" xr:uid="{00000000-0005-0000-0000-00003B090000}"/>
    <cellStyle name="_KT_TG_2_PT02-03" xfId="1840" xr:uid="{00000000-0005-0000-0000-00003C090000}"/>
    <cellStyle name="_KT_TG_2_PT02-03_Book1" xfId="1841" xr:uid="{00000000-0005-0000-0000-00003D090000}"/>
    <cellStyle name="_KT_TG_2_PT02-03_Book1_Song tra-750-tram nen" xfId="1842" xr:uid="{00000000-0005-0000-0000-00003E090000}"/>
    <cellStyle name="_KT_TG_2_PT02-03_Book1_Song tra-750-tram nen 2" xfId="3148" xr:uid="{00000000-0005-0000-0000-00003F090000}"/>
    <cellStyle name="_KT_TG_2_PT02-03_DT Ngoc Ha" xfId="1843" xr:uid="{00000000-0005-0000-0000-000040090000}"/>
    <cellStyle name="_KT_TG_2_PT02-03_DT Ngoc Ha_Song tra-750-tram nen" xfId="1844" xr:uid="{00000000-0005-0000-0000-000041090000}"/>
    <cellStyle name="_KT_TG_2_PT02-03_DT Ngoc Ha_Song tra-750-tram nen 2" xfId="3149" xr:uid="{00000000-0005-0000-0000-000042090000}"/>
    <cellStyle name="_KT_TG_2_PT02-03_MUOI TINH PHUOC MINH" xfId="1845" xr:uid="{00000000-0005-0000-0000-000043090000}"/>
    <cellStyle name="_KT_TG_2_PT02-03_MUOI TINH PHUOC MINH_Song tra-750-tram nen" xfId="1846" xr:uid="{00000000-0005-0000-0000-000044090000}"/>
    <cellStyle name="_KT_TG_2_PT02-03_MUOI TINH PHUOC MINH_Song tra-750-tram nen 2" xfId="3150" xr:uid="{00000000-0005-0000-0000-000045090000}"/>
    <cellStyle name="_KT_TG_2_PT02-03_Song tra-750-tram nen" xfId="1847" xr:uid="{00000000-0005-0000-0000-000046090000}"/>
    <cellStyle name="_KT_TG_2_PT02-03_Song tra-750-tram nen 2" xfId="3151" xr:uid="{00000000-0005-0000-0000-000047090000}"/>
    <cellStyle name="_KT_TG_2_PT02-03_TDC Tan My" xfId="1848" xr:uid="{00000000-0005-0000-0000-000048090000}"/>
    <cellStyle name="_KT_TG_2_PT02-03_TDC Tan My_Song tra-750-tram nen" xfId="1849" xr:uid="{00000000-0005-0000-0000-000049090000}"/>
    <cellStyle name="_KT_TG_2_PT02-03_TDC Tan My_Song tra-750-tram nen 2" xfId="3152" xr:uid="{00000000-0005-0000-0000-00004A090000}"/>
    <cellStyle name="_KT_TG_2_PT02-03_trinh bao gia" xfId="1850" xr:uid="{00000000-0005-0000-0000-00004B090000}"/>
    <cellStyle name="_KT_TG_2_PT02-03_trinh bao gia_06 Thuy san Ninh Phuoc (luu 21-06)" xfId="1851" xr:uid="{00000000-0005-0000-0000-00004C090000}"/>
    <cellStyle name="_KT_TG_2_PT02-03_trinh bao gia_BAO TRO XH-DU TOAN" xfId="1852" xr:uid="{00000000-0005-0000-0000-00004D090000}"/>
    <cellStyle name="_KT_TG_2_PT02-03_trinh bao gia_BD" xfId="1853" xr:uid="{00000000-0005-0000-0000-00004E090000}"/>
    <cellStyle name="_KT_TG_2_PT02-03_trinh bao gia_DI DOI TRUONG LE QUY DON-HC HOAN CONG" xfId="1854" xr:uid="{00000000-0005-0000-0000-00004F090000}"/>
    <cellStyle name="_KT_TG_2_PT02-03_trinh bao gia_DUONG DOI TAN HOI-NEW 21-8-2006" xfId="1855" xr:uid="{00000000-0005-0000-0000-000050090000}"/>
    <cellStyle name="_KT_TG_2_PT02-03_trinh bao gia_DUONG DOI THI XA-THU HOI-HC 2-3-07 xls" xfId="1856" xr:uid="{00000000-0005-0000-0000-000051090000}"/>
    <cellStyle name="_KT_TG_2_PT02-03_trinh bao gia_DUONG DOI THI XA-THU HOI-HC 2-3-07 xls_Song tra-750-tram nen" xfId="1857" xr:uid="{00000000-0005-0000-0000-000052090000}"/>
    <cellStyle name="_KT_TG_2_PT02-03_trinh bao gia_DUONG DOI THI XA-THU HOI-HC 2-3-07 xls_Song tra-750-tram nen 2" xfId="3153" xr:uid="{00000000-0005-0000-0000-000053090000}"/>
    <cellStyle name="_KT_TG_2_PT02-03_trinh bao gia_Gia cuoc van chuyen" xfId="1858" xr:uid="{00000000-0005-0000-0000-000054090000}"/>
    <cellStyle name="_KT_TG_2_PT02-03_trinh bao gia_Khu dan cu SO 2(TK BV-TC)-1" xfId="1859" xr:uid="{00000000-0005-0000-0000-000055090000}"/>
    <cellStyle name="_KT_TG_2_PT02-03_trinh bao gia_KHU DAN CU SUOI VANG" xfId="1860" xr:uid="{00000000-0005-0000-0000-000056090000}"/>
    <cellStyle name="_KT_TG_2_PT02-03_trinh bao gia_Khu TDC Phuoc Trung" xfId="1861" xr:uid="{00000000-0005-0000-0000-000057090000}"/>
    <cellStyle name="_KT_TG_2_PT02-03_trinh bao gia_Pham Van Thanh" xfId="1862" xr:uid="{00000000-0005-0000-0000-000058090000}"/>
    <cellStyle name="_KT_TG_2_PT02-03_trinh bao gia_Phuoc My Giai Doan 3-gia moi-14-10-uni" xfId="1863" xr:uid="{00000000-0005-0000-0000-000059090000}"/>
    <cellStyle name="_KT_TG_2_PT02-03_trinh bao gia_Song tra-750-tram nen" xfId="1864" xr:uid="{00000000-0005-0000-0000-00005A090000}"/>
    <cellStyle name="_KT_TG_2_PT02-03_trinh bao gia_Song tra-750-tram nen 2" xfId="3154" xr:uid="{00000000-0005-0000-0000-00005B090000}"/>
    <cellStyle name="_KT_TG_2_PT02-03_trinh bao gia_Thuan Bac-sua lai" xfId="1865" xr:uid="{00000000-0005-0000-0000-00005C090000}"/>
    <cellStyle name="_KT_TG_2_PT02-03_trinh bao gia_VKim" xfId="1866" xr:uid="{00000000-0005-0000-0000-00005D090000}"/>
    <cellStyle name="_KT_TG_2_PT02-03_Truong day nghe (20.1.06)" xfId="1867" xr:uid="{00000000-0005-0000-0000-00005E090000}"/>
    <cellStyle name="_KT_TG_2_PT02-03_Truong day nghe (20.1.06) 2" xfId="3155" xr:uid="{00000000-0005-0000-0000-00005F090000}"/>
    <cellStyle name="_KT_TG_2_Qt-HT3PQ1(CauKho)" xfId="1868" xr:uid="{00000000-0005-0000-0000-000060090000}"/>
    <cellStyle name="_KT_TG_2_Qt-HT3PQ1(CauKho)_Song tra-750-tram nen" xfId="1869" xr:uid="{00000000-0005-0000-0000-000061090000}"/>
    <cellStyle name="_KT_TG_2_Qt-HT3PQ1(CauKho)_Song tra-750-tram nen 2" xfId="3156" xr:uid="{00000000-0005-0000-0000-000062090000}"/>
    <cellStyle name="_KT_TG_2_SCL 07-Phuoc Hau-unicod" xfId="1870" xr:uid="{00000000-0005-0000-0000-000063090000}"/>
    <cellStyle name="_KT_TG_2_SCL tram GO DEN - GO THAO" xfId="1871" xr:uid="{00000000-0005-0000-0000-000064090000}"/>
    <cellStyle name="_KT_TG_2_SO TRU TRUNG AP SCL GUI ANH PHUONG" xfId="3888" xr:uid="{00000000-0005-0000-0000-000065090000}"/>
    <cellStyle name="_KT_TG_2_Song tra-750-tram nen" xfId="1872" xr:uid="{00000000-0005-0000-0000-000066090000}"/>
    <cellStyle name="_KT_TG_2_Song tra-750-tram nen 2" xfId="3157" xr:uid="{00000000-0005-0000-0000-000067090000}"/>
    <cellStyle name="_KT_TG_2_sua chua lon Thao 1" xfId="3889" xr:uid="{00000000-0005-0000-0000-000068090000}"/>
    <cellStyle name="_KT_TG_2_TDC Tan My" xfId="1873" xr:uid="{00000000-0005-0000-0000-000069090000}"/>
    <cellStyle name="_KT_TG_2_TDC Tan My_Song tra-750-tram nen" xfId="1874" xr:uid="{00000000-0005-0000-0000-00006A090000}"/>
    <cellStyle name="_KT_TG_2_TDC Tan My_Song tra-750-tram nen 2" xfId="3158" xr:uid="{00000000-0005-0000-0000-00006B090000}"/>
    <cellStyle name="_KT_TG_2_TDT-MAU2" xfId="1875" xr:uid="{00000000-0005-0000-0000-00006C090000}"/>
    <cellStyle name="_KT_TG_2_TDT-MAU2_Song tra-750-tram nen" xfId="1876" xr:uid="{00000000-0005-0000-0000-00006D090000}"/>
    <cellStyle name="_KT_TG_2_TDT-MAU2_Song tra-750-tram nen 2" xfId="3159" xr:uid="{00000000-0005-0000-0000-00006E090000}"/>
    <cellStyle name="_KT_TG_2_THANHLOC Khai Hung" xfId="1877" xr:uid="{00000000-0005-0000-0000-00006F090000}"/>
    <cellStyle name="_KT_TG_2_THANHLOC Khai Hung_Book1" xfId="1878" xr:uid="{00000000-0005-0000-0000-000070090000}"/>
    <cellStyle name="_KT_TG_2_THANHLOC Khai Hung_Book1_Song tra-750-tram nen" xfId="1879" xr:uid="{00000000-0005-0000-0000-000071090000}"/>
    <cellStyle name="_KT_TG_2_THANHLOC Khai Hung_Book1_Song tra-750-tram nen 2" xfId="3160" xr:uid="{00000000-0005-0000-0000-000072090000}"/>
    <cellStyle name="_KT_TG_2_THANHLOC Khai Hung_Song tra-750-tram nen" xfId="1880" xr:uid="{00000000-0005-0000-0000-000073090000}"/>
    <cellStyle name="_KT_TG_2_THANHLOC Khai Hung_Song tra-750-tram nen 2" xfId="3161" xr:uid="{00000000-0005-0000-0000-000074090000}"/>
    <cellStyle name="_KT_TG_2_THANHLOC Khai Hung_trinh bao gia" xfId="1881" xr:uid="{00000000-0005-0000-0000-000075090000}"/>
    <cellStyle name="_KT_TG_2_THANHLOC Khai Hung_trinh bao gia_06 Thuy san Ninh Phuoc (luu 21-06)" xfId="1882" xr:uid="{00000000-0005-0000-0000-000076090000}"/>
    <cellStyle name="_KT_TG_2_THANHLOC Khai Hung_trinh bao gia_BAO TRO XH-DU TOAN" xfId="1883" xr:uid="{00000000-0005-0000-0000-000077090000}"/>
    <cellStyle name="_KT_TG_2_THANHLOC Khai Hung_trinh bao gia_BD" xfId="1884" xr:uid="{00000000-0005-0000-0000-000078090000}"/>
    <cellStyle name="_KT_TG_2_THANHLOC Khai Hung_trinh bao gia_DI DOI TRUONG LE QUY DON-HC HOAN CONG" xfId="1885" xr:uid="{00000000-0005-0000-0000-000079090000}"/>
    <cellStyle name="_KT_TG_2_THANHLOC Khai Hung_trinh bao gia_DUONG DOI TAN HOI-NEW 21-8-2006" xfId="1886" xr:uid="{00000000-0005-0000-0000-00007A090000}"/>
    <cellStyle name="_KT_TG_2_THANHLOC Khai Hung_trinh bao gia_DUONG DOI THI XA-THU HOI-HC 2-3-07 xls" xfId="1887" xr:uid="{00000000-0005-0000-0000-00007B090000}"/>
    <cellStyle name="_KT_TG_2_THANHLOC Khai Hung_trinh bao gia_DUONG DOI THI XA-THU HOI-HC 2-3-07 xls_Song tra-750-tram nen" xfId="1888" xr:uid="{00000000-0005-0000-0000-00007C090000}"/>
    <cellStyle name="_KT_TG_2_THANHLOC Khai Hung_trinh bao gia_DUONG DOI THI XA-THU HOI-HC 2-3-07 xls_Song tra-750-tram nen 2" xfId="3162" xr:uid="{00000000-0005-0000-0000-00007D090000}"/>
    <cellStyle name="_KT_TG_2_THANHLOC Khai Hung_trinh bao gia_Gia cuoc van chuyen" xfId="1889" xr:uid="{00000000-0005-0000-0000-00007E090000}"/>
    <cellStyle name="_KT_TG_2_THANHLOC Khai Hung_trinh bao gia_Khu dan cu SO 2(TK BV-TC)-1" xfId="1890" xr:uid="{00000000-0005-0000-0000-00007F090000}"/>
    <cellStyle name="_KT_TG_2_THANHLOC Khai Hung_trinh bao gia_KHU DAN CU SUOI VANG" xfId="1891" xr:uid="{00000000-0005-0000-0000-000080090000}"/>
    <cellStyle name="_KT_TG_2_THANHLOC Khai Hung_trinh bao gia_Khu TDC Phuoc Trung" xfId="1892" xr:uid="{00000000-0005-0000-0000-000081090000}"/>
    <cellStyle name="_KT_TG_2_THANHLOC Khai Hung_trinh bao gia_Pham Van Thanh" xfId="1893" xr:uid="{00000000-0005-0000-0000-000082090000}"/>
    <cellStyle name="_KT_TG_2_THANHLOC Khai Hung_trinh bao gia_Phuoc My Giai Doan 3-gia moi-14-10-uni" xfId="1894" xr:uid="{00000000-0005-0000-0000-000083090000}"/>
    <cellStyle name="_KT_TG_2_THANHLOC Khai Hung_trinh bao gia_Song tra-750-tram nen" xfId="1895" xr:uid="{00000000-0005-0000-0000-000084090000}"/>
    <cellStyle name="_KT_TG_2_THANHLOC Khai Hung_trinh bao gia_Song tra-750-tram nen 2" xfId="3163" xr:uid="{00000000-0005-0000-0000-000085090000}"/>
    <cellStyle name="_KT_TG_2_THANHLOC Khai Hung_trinh bao gia_Thuan Bac-sua lai" xfId="1896" xr:uid="{00000000-0005-0000-0000-000086090000}"/>
    <cellStyle name="_KT_TG_2_THANHLOC Khai Hung_trinh bao gia_VKim" xfId="1897" xr:uid="{00000000-0005-0000-0000-000087090000}"/>
    <cellStyle name="_KT_TG_2_THG" xfId="1898" xr:uid="{00000000-0005-0000-0000-000088090000}"/>
    <cellStyle name="_KT_TG_2_THG_Song tra-750-tram nen" xfId="1899" xr:uid="{00000000-0005-0000-0000-000089090000}"/>
    <cellStyle name="_KT_TG_2_THG_Song tra-750-tram nen 2" xfId="3164" xr:uid="{00000000-0005-0000-0000-00008A090000}"/>
    <cellStyle name="_KT_TG_2_TONG KE GO DEN-GO THAO" xfId="1900" xr:uid="{00000000-0005-0000-0000-00008B090000}"/>
    <cellStyle name="_KT_TG_2_Tong ke SCL bo sung 2007" xfId="1901" xr:uid="{00000000-0005-0000-0000-00008C090000}"/>
    <cellStyle name="_KT_TG_2_Tong ke sua chua DZ dke (xoa tong gd 2)-NLam 2 -Vtu" xfId="1902" xr:uid="{00000000-0005-0000-0000-00008D090000}"/>
    <cellStyle name="_KT_TG_2_Tong ke sua chua DZ dke (xoa tong gd 2)-NLam-Vtu" xfId="1903" xr:uid="{00000000-0005-0000-0000-00008E090000}"/>
    <cellStyle name="_KT_TG_2_Tong ke sua chua DZ dke (xoa tong gd 2)-VLam 1" xfId="1904" xr:uid="{00000000-0005-0000-0000-00008F090000}"/>
    <cellStyle name="_KT_TG_2_Tong ke sua chua DZ dke (xoa tong gd 2)-VLam 2" xfId="1905" xr:uid="{00000000-0005-0000-0000-000090090000}"/>
    <cellStyle name="_KT_TG_2_trinh bao gia" xfId="1906" xr:uid="{00000000-0005-0000-0000-000091090000}"/>
    <cellStyle name="_KT_TG_2_trinh bao gia_06 Thuy san Ninh Phuoc (luu 21-06)" xfId="1907" xr:uid="{00000000-0005-0000-0000-000092090000}"/>
    <cellStyle name="_KT_TG_2_trinh bao gia_BAO TRO XH-DU TOAN" xfId="1908" xr:uid="{00000000-0005-0000-0000-000093090000}"/>
    <cellStyle name="_KT_TG_2_trinh bao gia_BD" xfId="1909" xr:uid="{00000000-0005-0000-0000-000094090000}"/>
    <cellStyle name="_KT_TG_2_trinh bao gia_DI DOI TRUONG LE QUY DON-HC HOAN CONG" xfId="1910" xr:uid="{00000000-0005-0000-0000-000095090000}"/>
    <cellStyle name="_KT_TG_2_trinh bao gia_DUONG DOI TAN HOI-NEW 21-8-2006" xfId="1911" xr:uid="{00000000-0005-0000-0000-000096090000}"/>
    <cellStyle name="_KT_TG_2_trinh bao gia_DUONG DOI THI XA-THU HOI-HC 2-3-07 xls" xfId="1912" xr:uid="{00000000-0005-0000-0000-000097090000}"/>
    <cellStyle name="_KT_TG_2_trinh bao gia_DUONG DOI THI XA-THU HOI-HC 2-3-07 xls_Song tra-750-tram nen" xfId="1913" xr:uid="{00000000-0005-0000-0000-000098090000}"/>
    <cellStyle name="_KT_TG_2_trinh bao gia_DUONG DOI THI XA-THU HOI-HC 2-3-07 xls_Song tra-750-tram nen 2" xfId="3165" xr:uid="{00000000-0005-0000-0000-000099090000}"/>
    <cellStyle name="_KT_TG_2_trinh bao gia_Gia cuoc van chuyen" xfId="1914" xr:uid="{00000000-0005-0000-0000-00009A090000}"/>
    <cellStyle name="_KT_TG_2_trinh bao gia_Khu dan cu SO 2(TK BV-TC)-1" xfId="1915" xr:uid="{00000000-0005-0000-0000-00009B090000}"/>
    <cellStyle name="_KT_TG_2_trinh bao gia_KHU DAN CU SUOI VANG" xfId="1916" xr:uid="{00000000-0005-0000-0000-00009C090000}"/>
    <cellStyle name="_KT_TG_2_trinh bao gia_Khu TDC Phuoc Trung" xfId="1917" xr:uid="{00000000-0005-0000-0000-00009D090000}"/>
    <cellStyle name="_KT_TG_2_trinh bao gia_Pham Van Thanh" xfId="1918" xr:uid="{00000000-0005-0000-0000-00009E090000}"/>
    <cellStyle name="_KT_TG_2_trinh bao gia_Phuoc My Giai Doan 3-gia moi-14-10-uni" xfId="1919" xr:uid="{00000000-0005-0000-0000-00009F090000}"/>
    <cellStyle name="_KT_TG_2_trinh bao gia_Song tra-750-tram nen" xfId="1920" xr:uid="{00000000-0005-0000-0000-0000A0090000}"/>
    <cellStyle name="_KT_TG_2_trinh bao gia_Song tra-750-tram nen 2" xfId="3166" xr:uid="{00000000-0005-0000-0000-0000A1090000}"/>
    <cellStyle name="_KT_TG_2_trinh bao gia_Thuan Bac-sua lai" xfId="1921" xr:uid="{00000000-0005-0000-0000-0000A2090000}"/>
    <cellStyle name="_KT_TG_2_trinh bao gia_VKim" xfId="1922" xr:uid="{00000000-0005-0000-0000-0000A3090000}"/>
    <cellStyle name="_KT_TG_2_Truong day nghe (20.1.06)" xfId="1923" xr:uid="{00000000-0005-0000-0000-0000A4090000}"/>
    <cellStyle name="_KT_TG_2_Truong day nghe (20.1.06) 2" xfId="3167" xr:uid="{00000000-0005-0000-0000-0000A5090000}"/>
    <cellStyle name="_KT_TG_3" xfId="1924" xr:uid="{00000000-0005-0000-0000-0000A6090000}"/>
    <cellStyle name="_KT_TG_3_Du toan thay ong ep va da composite sua" xfId="3890" xr:uid="{00000000-0005-0000-0000-0000A7090000}"/>
    <cellStyle name="_KT_TG_3_Song tra-750-tram nen" xfId="1925" xr:uid="{00000000-0005-0000-0000-0000A8090000}"/>
    <cellStyle name="_KT_TG_4" xfId="1926" xr:uid="{00000000-0005-0000-0000-0000A9090000}"/>
    <cellStyle name="_KT_TG_4_Book1" xfId="1927" xr:uid="{00000000-0005-0000-0000-0000AA090000}"/>
    <cellStyle name="_KT_TG_4_Book1_Song tra-750-tram nen" xfId="1928" xr:uid="{00000000-0005-0000-0000-0000AB090000}"/>
    <cellStyle name="_KT_TG_4_Du toan thay ong ep va da composite sua" xfId="3891" xr:uid="{00000000-0005-0000-0000-0000AC090000}"/>
    <cellStyle name="_KT_TG_4_KHU DAN CU SUOI VANG" xfId="1929" xr:uid="{00000000-0005-0000-0000-0000AD090000}"/>
    <cellStyle name="_KT_TG_4_Khu dan cu Thap Cham 1 (TK BV-TC)-2-HC LAN 1" xfId="1930" xr:uid="{00000000-0005-0000-0000-0000AE090000}"/>
    <cellStyle name="_KT_TG_4_Khu TDC Phuoc Trung" xfId="1931" xr:uid="{00000000-0005-0000-0000-0000AF090000}"/>
    <cellStyle name="_KT_TG_4_Khu TDC Phuoc Trung_Song tra-750-tram nen" xfId="1932" xr:uid="{00000000-0005-0000-0000-0000B0090000}"/>
    <cellStyle name="_KT_TG_4_Lora-tungchau" xfId="1933" xr:uid="{00000000-0005-0000-0000-0000B1090000}"/>
    <cellStyle name="_KT_TG_4_Lora-tungchau_Song tra-750-tram nen" xfId="1934" xr:uid="{00000000-0005-0000-0000-0000B2090000}"/>
    <cellStyle name="_KT_TG_4_Qt-HT3PQ1(CauKho)" xfId="1935" xr:uid="{00000000-0005-0000-0000-0000B3090000}"/>
    <cellStyle name="_KT_TG_4_Qt-HT3PQ1(CauKho)_Song tra-750-tram nen" xfId="1936" xr:uid="{00000000-0005-0000-0000-0000B4090000}"/>
    <cellStyle name="_KT_TG_4_Song tra-750-tram nen" xfId="1937" xr:uid="{00000000-0005-0000-0000-0000B5090000}"/>
    <cellStyle name="_KT_TG_Du toan thay ong ep va da composite sua" xfId="3892" xr:uid="{00000000-0005-0000-0000-0000B6090000}"/>
    <cellStyle name="_KT_TG_Song tra-750-tram nen" xfId="1938" xr:uid="{00000000-0005-0000-0000-0000B7090000}"/>
    <cellStyle name="_Lora-tungchau" xfId="1939" xr:uid="{00000000-0005-0000-0000-0000B8090000}"/>
    <cellStyle name="_Lora-tungchau_6.BANG CHI TIET" xfId="1940" xr:uid="{00000000-0005-0000-0000-0000B9090000}"/>
    <cellStyle name="_Lora-tungchau_BAO TRO XH-DU TOAN" xfId="1941" xr:uid="{00000000-0005-0000-0000-0000BA090000}"/>
    <cellStyle name="_Lora-tungchau_BD" xfId="1942" xr:uid="{00000000-0005-0000-0000-0000BB090000}"/>
    <cellStyle name="_Lora-tungchau_DM.NHANCONG" xfId="1943" xr:uid="{00000000-0005-0000-0000-0000BC090000}"/>
    <cellStyle name="_Lora-tungchau_DM.NHANCONG_Song tra-750-tram nen" xfId="1944" xr:uid="{00000000-0005-0000-0000-0000BD090000}"/>
    <cellStyle name="_Lora-tungchau_DM.NHANCONG_Song tra-750-tram nen 2" xfId="3168" xr:uid="{00000000-0005-0000-0000-0000BE090000}"/>
    <cellStyle name="_Lora-tungchau_DUONG DOI TAN HOI-NEW 21-8-2006" xfId="1945" xr:uid="{00000000-0005-0000-0000-0000BF090000}"/>
    <cellStyle name="_Lora-tungchau_Gia cuoc van chuyen" xfId="1946" xr:uid="{00000000-0005-0000-0000-0000C0090000}"/>
    <cellStyle name="_Lora-tungchau_Khu dan cu SO 2(TK BV-TC)-1" xfId="1947" xr:uid="{00000000-0005-0000-0000-0000C1090000}"/>
    <cellStyle name="_Lora-tungchau_LTRI- TDINH" xfId="1948" xr:uid="{00000000-0005-0000-0000-0000C2090000}"/>
    <cellStyle name="_Lora-tungchau_Pham Van Thanh" xfId="1949" xr:uid="{00000000-0005-0000-0000-0000C3090000}"/>
    <cellStyle name="_Lora-tungchau_Phuoc My Giai Doan 3-gia moi-14-10-uni" xfId="1950" xr:uid="{00000000-0005-0000-0000-0000C4090000}"/>
    <cellStyle name="_Lora-tungchau_Song tra-750-tram nen" xfId="1951" xr:uid="{00000000-0005-0000-0000-0000C5090000}"/>
    <cellStyle name="_Lora-tungchau_Song tra-750-tram nen 2" xfId="3169" xr:uid="{00000000-0005-0000-0000-0000C6090000}"/>
    <cellStyle name="_Lora-tungchau_Thuan Bac-sua lai" xfId="1952" xr:uid="{00000000-0005-0000-0000-0000C7090000}"/>
    <cellStyle name="_Lora-tungchau_VKim" xfId="1953" xr:uid="{00000000-0005-0000-0000-0000C8090000}"/>
    <cellStyle name="_MUOI TINH PHUOC MINH" xfId="1954" xr:uid="{00000000-0005-0000-0000-0000C9090000}"/>
    <cellStyle name="_MUOI TINH PHUOC MINH_Song tra-750-tram nen" xfId="1955" xr:uid="{00000000-0005-0000-0000-0000CA090000}"/>
    <cellStyle name="_MUOI TINH PHUOC MINH_Song tra-750-tram nen 2" xfId="3170" xr:uid="{00000000-0005-0000-0000-0000CB090000}"/>
    <cellStyle name="_x0001__Ninh Hai Du toan SCL 2016  (thay day boc) tham dinh" xfId="3893" xr:uid="{00000000-0005-0000-0000-0000CC090000}"/>
    <cellStyle name="_PERSONAL" xfId="1956" xr:uid="{00000000-0005-0000-0000-0000CD090000}"/>
    <cellStyle name="_PERSONAL_Book1" xfId="1957" xr:uid="{00000000-0005-0000-0000-0000CE090000}"/>
    <cellStyle name="_PERSONAL_Book1_06 Thuy san Ninh Phuoc (luu 21-06)" xfId="1958" xr:uid="{00000000-0005-0000-0000-0000CF090000}"/>
    <cellStyle name="_PERSONAL_Book1_1" xfId="1959" xr:uid="{00000000-0005-0000-0000-0000D0090000}"/>
    <cellStyle name="_PERSONAL_Book1_1_Song tra-750-tram nen" xfId="1960" xr:uid="{00000000-0005-0000-0000-0000D1090000}"/>
    <cellStyle name="_PERSONAL_Book1_BAO TRO XH-DU TOAN" xfId="1961" xr:uid="{00000000-0005-0000-0000-0000D2090000}"/>
    <cellStyle name="_PERSONAL_Book1_BD" xfId="1962" xr:uid="{00000000-0005-0000-0000-0000D3090000}"/>
    <cellStyle name="_PERSONAL_Book1_Book1" xfId="1963" xr:uid="{00000000-0005-0000-0000-0000D4090000}"/>
    <cellStyle name="_PERSONAL_Book1_Book1_Song tra-750-tram nen" xfId="1964" xr:uid="{00000000-0005-0000-0000-0000D5090000}"/>
    <cellStyle name="_PERSONAL_Book1_Book1_Song tra-750-tram nen 2" xfId="3171" xr:uid="{00000000-0005-0000-0000-0000D6090000}"/>
    <cellStyle name="_PERSONAL_Book1_DI DOI TRUONG LE QUY DON-HC HOAN CONG" xfId="1965" xr:uid="{00000000-0005-0000-0000-0000D7090000}"/>
    <cellStyle name="_PERSONAL_Book1_DUONG DOI TAN HOI-NEW 21-8-2006" xfId="1966" xr:uid="{00000000-0005-0000-0000-0000D8090000}"/>
    <cellStyle name="_PERSONAL_Book1_DUONG DOI THI XA-THU HOI-HC 2-3-07 xls" xfId="1967" xr:uid="{00000000-0005-0000-0000-0000D9090000}"/>
    <cellStyle name="_PERSONAL_Book1_DUONG DOI THI XA-THU HOI-HC 2-3-07 xls_Song tra-750-tram nen" xfId="1968" xr:uid="{00000000-0005-0000-0000-0000DA090000}"/>
    <cellStyle name="_PERSONAL_Book1_DUONG DOI THI XA-THU HOI-HC 2-3-07 xls_Song tra-750-tram nen 2" xfId="3172" xr:uid="{00000000-0005-0000-0000-0000DB090000}"/>
    <cellStyle name="_PERSONAL_Book1_Gia cuoc van chuyen" xfId="1969" xr:uid="{00000000-0005-0000-0000-0000DC090000}"/>
    <cellStyle name="_PERSONAL_Book1_Khu dan cu SO 2(TK BV-TC)-1" xfId="1970" xr:uid="{00000000-0005-0000-0000-0000DD090000}"/>
    <cellStyle name="_PERSONAL_Book1_KHU DAN CU SUOI VANG" xfId="1971" xr:uid="{00000000-0005-0000-0000-0000DE090000}"/>
    <cellStyle name="_PERSONAL_Book1_Khu TDC Phuoc Trung" xfId="1972" xr:uid="{00000000-0005-0000-0000-0000DF090000}"/>
    <cellStyle name="_PERSONAL_Book1_Pham Van Thanh" xfId="1973" xr:uid="{00000000-0005-0000-0000-0000E0090000}"/>
    <cellStyle name="_PERSONAL_Book1_Phuoc My Giai Doan 3-gia moi-14-10-uni" xfId="1974" xr:uid="{00000000-0005-0000-0000-0000E1090000}"/>
    <cellStyle name="_PERSONAL_Book1_Song tra-750-tram nen" xfId="1975" xr:uid="{00000000-0005-0000-0000-0000E2090000}"/>
    <cellStyle name="_PERSONAL_Book1_Song tra-750-tram nen 2" xfId="3173" xr:uid="{00000000-0005-0000-0000-0000E3090000}"/>
    <cellStyle name="_PERSONAL_Book1_Thuan Bac-sua lai" xfId="1976" xr:uid="{00000000-0005-0000-0000-0000E4090000}"/>
    <cellStyle name="_PERSONAL_Book1_VKim" xfId="1977" xr:uid="{00000000-0005-0000-0000-0000E5090000}"/>
    <cellStyle name="_PERSONAL_HTQ.8 GD1" xfId="1978" xr:uid="{00000000-0005-0000-0000-0000E6090000}"/>
    <cellStyle name="_PERSONAL_HTQ.8 GD1_06 Thuy san Ninh Phuoc (luu 21-06)" xfId="1979" xr:uid="{00000000-0005-0000-0000-0000E7090000}"/>
    <cellStyle name="_PERSONAL_HTQ.8 GD1_BAO TRO XH-DU TOAN" xfId="1980" xr:uid="{00000000-0005-0000-0000-0000E8090000}"/>
    <cellStyle name="_PERSONAL_HTQ.8 GD1_BD" xfId="1981" xr:uid="{00000000-0005-0000-0000-0000E9090000}"/>
    <cellStyle name="_PERSONAL_HTQ.8 GD1_DI DOI TRUONG LE QUY DON-HC HOAN CONG" xfId="1982" xr:uid="{00000000-0005-0000-0000-0000EA090000}"/>
    <cellStyle name="_PERSONAL_HTQ.8 GD1_DUONG DOI TAN HOI-NEW 21-8-2006" xfId="1983" xr:uid="{00000000-0005-0000-0000-0000EB090000}"/>
    <cellStyle name="_PERSONAL_HTQ.8 GD1_DUONG DOI THI XA-THU HOI-HC 2-3-07 xls" xfId="1984" xr:uid="{00000000-0005-0000-0000-0000EC090000}"/>
    <cellStyle name="_PERSONAL_HTQ.8 GD1_DUONG DOI THI XA-THU HOI-HC 2-3-07 xls_Song tra-750-tram nen" xfId="1985" xr:uid="{00000000-0005-0000-0000-0000ED090000}"/>
    <cellStyle name="_PERSONAL_HTQ.8 GD1_DUONG DOI THI XA-THU HOI-HC 2-3-07 xls_Song tra-750-tram nen 2" xfId="3174" xr:uid="{00000000-0005-0000-0000-0000EE090000}"/>
    <cellStyle name="_PERSONAL_HTQ.8 GD1_Gia cuoc van chuyen" xfId="1986" xr:uid="{00000000-0005-0000-0000-0000EF090000}"/>
    <cellStyle name="_PERSONAL_HTQ.8 GD1_Khu dan cu SO 2(TK BV-TC)-1" xfId="1987" xr:uid="{00000000-0005-0000-0000-0000F0090000}"/>
    <cellStyle name="_PERSONAL_HTQ.8 GD1_KHU DAN CU SUOI VANG" xfId="1988" xr:uid="{00000000-0005-0000-0000-0000F1090000}"/>
    <cellStyle name="_PERSONAL_HTQ.8 GD1_Khu TDC Phuoc Trung" xfId="1989" xr:uid="{00000000-0005-0000-0000-0000F2090000}"/>
    <cellStyle name="_PERSONAL_HTQ.8 GD1_Pham Van Thanh" xfId="1990" xr:uid="{00000000-0005-0000-0000-0000F3090000}"/>
    <cellStyle name="_PERSONAL_HTQ.8 GD1_Phuoc My Giai Doan 3-gia moi-14-10-uni" xfId="1991" xr:uid="{00000000-0005-0000-0000-0000F4090000}"/>
    <cellStyle name="_PERSONAL_HTQ.8 GD1_Song tra-750-tram nen" xfId="1992" xr:uid="{00000000-0005-0000-0000-0000F5090000}"/>
    <cellStyle name="_PERSONAL_HTQ.8 GD1_Song tra-750-tram nen 2" xfId="3175" xr:uid="{00000000-0005-0000-0000-0000F6090000}"/>
    <cellStyle name="_PERSONAL_HTQ.8 GD1_Thuan Bac-sua lai" xfId="1993" xr:uid="{00000000-0005-0000-0000-0000F7090000}"/>
    <cellStyle name="_PERSONAL_HTQ.8 GD1_VKim" xfId="1994" xr:uid="{00000000-0005-0000-0000-0000F8090000}"/>
    <cellStyle name="_PERSONAL_Song tra-750-tram nen" xfId="1995" xr:uid="{00000000-0005-0000-0000-0000F9090000}"/>
    <cellStyle name="_PERSONAL_Song tra-750-tram nen 2" xfId="3176" xr:uid="{00000000-0005-0000-0000-0000FA090000}"/>
    <cellStyle name="_PERSONAL_THG" xfId="1996" xr:uid="{00000000-0005-0000-0000-0000FB090000}"/>
    <cellStyle name="_PERSONAL_THG_Song tra-750-tram nen" xfId="1997" xr:uid="{00000000-0005-0000-0000-0000FC090000}"/>
    <cellStyle name="_PERSONAL_Tong hop KHCB 2001" xfId="1998" xr:uid="{00000000-0005-0000-0000-0000FD090000}"/>
    <cellStyle name="_PERSONAL_Tong hop KHCB 2001_Song tra-750-tram nen" xfId="1999" xr:uid="{00000000-0005-0000-0000-0000FE090000}"/>
    <cellStyle name="_PERSONAL_Tong hop KHCB 2001_Song tra-750-tram nen 2" xfId="3177" xr:uid="{00000000-0005-0000-0000-0000FF090000}"/>
    <cellStyle name="_PHUOC HUU" xfId="2000" xr:uid="{00000000-0005-0000-0000-0000000A0000}"/>
    <cellStyle name="_PHUOC HUU_Song tra-750-tram nen" xfId="2001" xr:uid="{00000000-0005-0000-0000-0000010A0000}"/>
    <cellStyle name="_PHUOC HUU_Song tra-750-tram nen 2" xfId="3178" xr:uid="{00000000-0005-0000-0000-0000020A0000}"/>
    <cellStyle name="_Qt-HT3PQ1(CauKho)" xfId="2002" xr:uid="{00000000-0005-0000-0000-0000030A0000}"/>
    <cellStyle name="_Qt-HT3PQ1(CauKho)_Song tra-750-tram nen" xfId="2003" xr:uid="{00000000-0005-0000-0000-0000040A0000}"/>
    <cellStyle name="_Qt-HT3PQ1(CauKho)_Song tra-750-tram nen 2" xfId="3179" xr:uid="{00000000-0005-0000-0000-0000050A0000}"/>
    <cellStyle name="_SCL 07-Phuoc Hau-unicod" xfId="2004" xr:uid="{00000000-0005-0000-0000-0000060A0000}"/>
    <cellStyle name="_SCL tram GO DEN - GO THAO" xfId="2005" xr:uid="{00000000-0005-0000-0000-0000070A0000}"/>
    <cellStyle name="_Sheet1 (2)" xfId="3894" xr:uid="{00000000-0005-0000-0000-0000080A0000}"/>
    <cellStyle name="_x0001__SO TRU TRUNG AP SCL GUI ANH PHUONG" xfId="3895" xr:uid="{00000000-0005-0000-0000-0000090A0000}"/>
    <cellStyle name="_SOTRU 1" xfId="3896" xr:uid="{00000000-0005-0000-0000-00000A0A0000}"/>
    <cellStyle name="_sua chua lon Thao 1" xfId="3897" xr:uid="{00000000-0005-0000-0000-00000B0A0000}"/>
    <cellStyle name="_x0001__sua chua lon Thao 1" xfId="3898" xr:uid="{00000000-0005-0000-0000-00000C0A0000}"/>
    <cellStyle name="_TDC Tan My" xfId="2006" xr:uid="{00000000-0005-0000-0000-00000D0A0000}"/>
    <cellStyle name="_TDC Tan My_Song tra-750-tram nen" xfId="2007" xr:uid="{00000000-0005-0000-0000-00000E0A0000}"/>
    <cellStyle name="_TDC Tan My_Song tra-750-tram nen 2" xfId="3180" xr:uid="{00000000-0005-0000-0000-00000F0A0000}"/>
    <cellStyle name="_TDT-MAU2" xfId="2008" xr:uid="{00000000-0005-0000-0000-0000100A0000}"/>
    <cellStyle name="_TDT-MAU2_Song tra-750-tram nen" xfId="2009" xr:uid="{00000000-0005-0000-0000-0000110A0000}"/>
    <cellStyle name="_TDT-MAU2_Song tra-750-tram nen 2" xfId="3181" xr:uid="{00000000-0005-0000-0000-0000120A0000}"/>
    <cellStyle name="_TG-TH" xfId="2010" xr:uid="{00000000-0005-0000-0000-0000130A0000}"/>
    <cellStyle name="_TG-TH_1" xfId="2011" xr:uid="{00000000-0005-0000-0000-0000140A0000}"/>
    <cellStyle name="_TG-TH_1_06 Muoi Tri Hai" xfId="2012" xr:uid="{00000000-0005-0000-0000-0000150A0000}"/>
    <cellStyle name="_TG-TH_1_06-scl-PHUOC HAI.HIEU CHINH-lan 2-09-12-05xls" xfId="2013" xr:uid="{00000000-0005-0000-0000-0000160A0000}"/>
    <cellStyle name="_TG-TH_1_07-PHUOC HA.XLS-1" xfId="2014" xr:uid="{00000000-0005-0000-0000-0000170A0000}"/>
    <cellStyle name="_TG-TH_1_07-PHUOC HA.XLS-1_Song tra-750-tram nen" xfId="2015" xr:uid="{00000000-0005-0000-0000-0000180A0000}"/>
    <cellStyle name="_TG-TH_1_07-PHUOC HA.XLS-1_Song tra-750-tram nen 2" xfId="3182" xr:uid="{00000000-0005-0000-0000-0000190A0000}"/>
    <cellStyle name="_TG-TH_1_07-scl ninh hai 31-05" xfId="3899" xr:uid="{00000000-0005-0000-0000-00001A0A0000}"/>
    <cellStyle name="_TG-TH_1_6.BANG CHI TIET" xfId="2016" xr:uid="{00000000-0005-0000-0000-00001B0A0000}"/>
    <cellStyle name="_TG-TH_1_BANG SO SANH NHAN CONG SC MBA DUYET" xfId="2017" xr:uid="{00000000-0005-0000-0000-00001C0A0000}"/>
    <cellStyle name="_TG-TH_1_BAO CAO KLCT PT2000" xfId="2018" xr:uid="{00000000-0005-0000-0000-00001D0A0000}"/>
    <cellStyle name="_TG-TH_1_BAO CAO KLCT PT2000_Song tra-750-tram nen" xfId="2019" xr:uid="{00000000-0005-0000-0000-00001E0A0000}"/>
    <cellStyle name="_TG-TH_1_BAO CAO KLCT PT2000_Song tra-750-tram nen 2" xfId="3183" xr:uid="{00000000-0005-0000-0000-00001F0A0000}"/>
    <cellStyle name="_TG-TH_1_BAO CAO PT2000" xfId="2020" xr:uid="{00000000-0005-0000-0000-0000200A0000}"/>
    <cellStyle name="_TG-TH_1_BAO CAO PT2000_Book1" xfId="2021" xr:uid="{00000000-0005-0000-0000-0000210A0000}"/>
    <cellStyle name="_TG-TH_1_BAO CAO PT2000_Book1_Song tra-750-tram nen" xfId="2022" xr:uid="{00000000-0005-0000-0000-0000220A0000}"/>
    <cellStyle name="_TG-TH_1_BAO CAO PT2000_Book1_Song tra-750-tram nen 2" xfId="3184" xr:uid="{00000000-0005-0000-0000-0000230A0000}"/>
    <cellStyle name="_TG-TH_1_BAO CAO PT2000_DT Ngoc Ha" xfId="2023" xr:uid="{00000000-0005-0000-0000-0000240A0000}"/>
    <cellStyle name="_TG-TH_1_BAO CAO PT2000_DT Ngoc Ha_Song tra-750-tram nen" xfId="2024" xr:uid="{00000000-0005-0000-0000-0000250A0000}"/>
    <cellStyle name="_TG-TH_1_BAO CAO PT2000_DT Ngoc Ha_Song tra-750-tram nen 2" xfId="3185" xr:uid="{00000000-0005-0000-0000-0000260A0000}"/>
    <cellStyle name="_TG-TH_1_BAO CAO PT2000_MUOI TINH PHUOC MINH" xfId="2025" xr:uid="{00000000-0005-0000-0000-0000270A0000}"/>
    <cellStyle name="_TG-TH_1_BAO CAO PT2000_MUOI TINH PHUOC MINH_Song tra-750-tram nen" xfId="2026" xr:uid="{00000000-0005-0000-0000-0000280A0000}"/>
    <cellStyle name="_TG-TH_1_BAO CAO PT2000_MUOI TINH PHUOC MINH_Song tra-750-tram nen 2" xfId="3186" xr:uid="{00000000-0005-0000-0000-0000290A0000}"/>
    <cellStyle name="_TG-TH_1_BAO CAO PT2000_Song tra-750-tram nen" xfId="2027" xr:uid="{00000000-0005-0000-0000-00002A0A0000}"/>
    <cellStyle name="_TG-TH_1_BAO CAO PT2000_Song tra-750-tram nen 2" xfId="3187" xr:uid="{00000000-0005-0000-0000-00002B0A0000}"/>
    <cellStyle name="_TG-TH_1_BAO CAO PT2000_TDC Tan My" xfId="2028" xr:uid="{00000000-0005-0000-0000-00002C0A0000}"/>
    <cellStyle name="_TG-TH_1_BAO CAO PT2000_TDC Tan My_Song tra-750-tram nen" xfId="2029" xr:uid="{00000000-0005-0000-0000-00002D0A0000}"/>
    <cellStyle name="_TG-TH_1_BAO CAO PT2000_TDC Tan My_Song tra-750-tram nen 2" xfId="3188" xr:uid="{00000000-0005-0000-0000-00002E0A0000}"/>
    <cellStyle name="_TG-TH_1_BAO CAO PT2000_trinh bao gia" xfId="2030" xr:uid="{00000000-0005-0000-0000-00002F0A0000}"/>
    <cellStyle name="_TG-TH_1_BAO CAO PT2000_trinh bao gia_06 Thuy san Ninh Phuoc (luu 21-06)" xfId="2031" xr:uid="{00000000-0005-0000-0000-0000300A0000}"/>
    <cellStyle name="_TG-TH_1_BAO CAO PT2000_trinh bao gia_BAO TRO XH-DU TOAN" xfId="2032" xr:uid="{00000000-0005-0000-0000-0000310A0000}"/>
    <cellStyle name="_TG-TH_1_BAO CAO PT2000_trinh bao gia_BD" xfId="2033" xr:uid="{00000000-0005-0000-0000-0000320A0000}"/>
    <cellStyle name="_TG-TH_1_BAO CAO PT2000_trinh bao gia_DI DOI TRUONG LE QUY DON-HC HOAN CONG" xfId="2034" xr:uid="{00000000-0005-0000-0000-0000330A0000}"/>
    <cellStyle name="_TG-TH_1_BAO CAO PT2000_trinh bao gia_DUONG DOI TAN HOI-NEW 21-8-2006" xfId="2035" xr:uid="{00000000-0005-0000-0000-0000340A0000}"/>
    <cellStyle name="_TG-TH_1_BAO CAO PT2000_trinh bao gia_DUONG DOI THI XA-THU HOI-HC 2-3-07 xls" xfId="2036" xr:uid="{00000000-0005-0000-0000-0000350A0000}"/>
    <cellStyle name="_TG-TH_1_BAO CAO PT2000_trinh bao gia_DUONG DOI THI XA-THU HOI-HC 2-3-07 xls_Song tra-750-tram nen" xfId="2037" xr:uid="{00000000-0005-0000-0000-0000360A0000}"/>
    <cellStyle name="_TG-TH_1_BAO CAO PT2000_trinh bao gia_DUONG DOI THI XA-THU HOI-HC 2-3-07 xls_Song tra-750-tram nen 2" xfId="3189" xr:uid="{00000000-0005-0000-0000-0000370A0000}"/>
    <cellStyle name="_TG-TH_1_BAO CAO PT2000_trinh bao gia_Gia cuoc van chuyen" xfId="2038" xr:uid="{00000000-0005-0000-0000-0000380A0000}"/>
    <cellStyle name="_TG-TH_1_BAO CAO PT2000_trinh bao gia_Khu dan cu SO 2(TK BV-TC)-1" xfId="2039" xr:uid="{00000000-0005-0000-0000-0000390A0000}"/>
    <cellStyle name="_TG-TH_1_BAO CAO PT2000_trinh bao gia_KHU DAN CU SUOI VANG" xfId="2040" xr:uid="{00000000-0005-0000-0000-00003A0A0000}"/>
    <cellStyle name="_TG-TH_1_BAO CAO PT2000_trinh bao gia_Khu TDC Phuoc Trung" xfId="2041" xr:uid="{00000000-0005-0000-0000-00003B0A0000}"/>
    <cellStyle name="_TG-TH_1_BAO CAO PT2000_trinh bao gia_Pham Van Thanh" xfId="2042" xr:uid="{00000000-0005-0000-0000-00003C0A0000}"/>
    <cellStyle name="_TG-TH_1_BAO CAO PT2000_trinh bao gia_Phuoc My Giai Doan 3-gia moi-14-10-uni" xfId="2043" xr:uid="{00000000-0005-0000-0000-00003D0A0000}"/>
    <cellStyle name="_TG-TH_1_BAO CAO PT2000_trinh bao gia_Song tra-750-tram nen" xfId="2044" xr:uid="{00000000-0005-0000-0000-00003E0A0000}"/>
    <cellStyle name="_TG-TH_1_BAO CAO PT2000_trinh bao gia_Song tra-750-tram nen 2" xfId="3190" xr:uid="{00000000-0005-0000-0000-00003F0A0000}"/>
    <cellStyle name="_TG-TH_1_BAO CAO PT2000_trinh bao gia_Thuan Bac-sua lai" xfId="2045" xr:uid="{00000000-0005-0000-0000-0000400A0000}"/>
    <cellStyle name="_TG-TH_1_BAO CAO PT2000_trinh bao gia_VKim" xfId="2046" xr:uid="{00000000-0005-0000-0000-0000410A0000}"/>
    <cellStyle name="_TG-TH_1_BAO CAO PT2000_Truong day nghe (20.1.06)" xfId="2047" xr:uid="{00000000-0005-0000-0000-0000420A0000}"/>
    <cellStyle name="_TG-TH_1_BAO CAO PT2000_Truong day nghe (20.1.06) 2" xfId="3191" xr:uid="{00000000-0005-0000-0000-0000430A0000}"/>
    <cellStyle name="_TG-TH_1_Bao cao XDCB 2001 - T11 KH dieu chinh 20-11-THAI" xfId="2048" xr:uid="{00000000-0005-0000-0000-0000440A0000}"/>
    <cellStyle name="_TG-TH_1_Bao cao XDCB 2001 - T11 KH dieu chinh 20-11-THAI_Book1" xfId="2049" xr:uid="{00000000-0005-0000-0000-0000450A0000}"/>
    <cellStyle name="_TG-TH_1_Bao cao XDCB 2001 - T11 KH dieu chinh 20-11-THAI_Book1_Song tra-750-tram nen" xfId="2050" xr:uid="{00000000-0005-0000-0000-0000460A0000}"/>
    <cellStyle name="_TG-TH_1_Bao cao XDCB 2001 - T11 KH dieu chinh 20-11-THAI_Book1_Song tra-750-tram nen 2" xfId="3192" xr:uid="{00000000-0005-0000-0000-0000470A0000}"/>
    <cellStyle name="_TG-TH_1_Bao cao XDCB 2001 - T11 KH dieu chinh 20-11-THAI_DT Ngoc Ha" xfId="2051" xr:uid="{00000000-0005-0000-0000-0000480A0000}"/>
    <cellStyle name="_TG-TH_1_Bao cao XDCB 2001 - T11 KH dieu chinh 20-11-THAI_DT Ngoc Ha_Song tra-750-tram nen" xfId="2052" xr:uid="{00000000-0005-0000-0000-0000490A0000}"/>
    <cellStyle name="_TG-TH_1_Bao cao XDCB 2001 - T11 KH dieu chinh 20-11-THAI_DT Ngoc Ha_Song tra-750-tram nen 2" xfId="3193" xr:uid="{00000000-0005-0000-0000-00004A0A0000}"/>
    <cellStyle name="_TG-TH_1_Bao cao XDCB 2001 - T11 KH dieu chinh 20-11-THAI_MUOI TINH PHUOC MINH" xfId="2053" xr:uid="{00000000-0005-0000-0000-00004B0A0000}"/>
    <cellStyle name="_TG-TH_1_Bao cao XDCB 2001 - T11 KH dieu chinh 20-11-THAI_MUOI TINH PHUOC MINH_Song tra-750-tram nen" xfId="2054" xr:uid="{00000000-0005-0000-0000-00004C0A0000}"/>
    <cellStyle name="_TG-TH_1_Bao cao XDCB 2001 - T11 KH dieu chinh 20-11-THAI_MUOI TINH PHUOC MINH_Song tra-750-tram nen 2" xfId="3194" xr:uid="{00000000-0005-0000-0000-00004D0A0000}"/>
    <cellStyle name="_TG-TH_1_Bao cao XDCB 2001 - T11 KH dieu chinh 20-11-THAI_Song tra-750-tram nen" xfId="2055" xr:uid="{00000000-0005-0000-0000-00004E0A0000}"/>
    <cellStyle name="_TG-TH_1_Bao cao XDCB 2001 - T11 KH dieu chinh 20-11-THAI_Song tra-750-tram nen 2" xfId="3195" xr:uid="{00000000-0005-0000-0000-00004F0A0000}"/>
    <cellStyle name="_TG-TH_1_Bao cao XDCB 2001 - T11 KH dieu chinh 20-11-THAI_TDC Tan My" xfId="2056" xr:uid="{00000000-0005-0000-0000-0000500A0000}"/>
    <cellStyle name="_TG-TH_1_Bao cao XDCB 2001 - T11 KH dieu chinh 20-11-THAI_TDC Tan My_Song tra-750-tram nen" xfId="2057" xr:uid="{00000000-0005-0000-0000-0000510A0000}"/>
    <cellStyle name="_TG-TH_1_Bao cao XDCB 2001 - T11 KH dieu chinh 20-11-THAI_TDC Tan My_Song tra-750-tram nen 2" xfId="3196" xr:uid="{00000000-0005-0000-0000-0000520A0000}"/>
    <cellStyle name="_TG-TH_1_Bao cao XDCB 2001 - T11 KH dieu chinh 20-11-THAI_trinh bao gia" xfId="2058" xr:uid="{00000000-0005-0000-0000-0000530A0000}"/>
    <cellStyle name="_TG-TH_1_Bao cao XDCB 2001 - T11 KH dieu chinh 20-11-THAI_trinh bao gia_06 Thuy san Ninh Phuoc (luu 21-06)" xfId="2059" xr:uid="{00000000-0005-0000-0000-0000540A0000}"/>
    <cellStyle name="_TG-TH_1_Bao cao XDCB 2001 - T11 KH dieu chinh 20-11-THAI_trinh bao gia_BAO TRO XH-DU TOAN" xfId="2060" xr:uid="{00000000-0005-0000-0000-0000550A0000}"/>
    <cellStyle name="_TG-TH_1_Bao cao XDCB 2001 - T11 KH dieu chinh 20-11-THAI_trinh bao gia_BD" xfId="2061" xr:uid="{00000000-0005-0000-0000-0000560A0000}"/>
    <cellStyle name="_TG-TH_1_Bao cao XDCB 2001 - T11 KH dieu chinh 20-11-THAI_trinh bao gia_DI DOI TRUONG LE QUY DON-HC HOAN CONG" xfId="2062" xr:uid="{00000000-0005-0000-0000-0000570A0000}"/>
    <cellStyle name="_TG-TH_1_Bao cao XDCB 2001 - T11 KH dieu chinh 20-11-THAI_trinh bao gia_DUONG DOI TAN HOI-NEW 21-8-2006" xfId="2063" xr:uid="{00000000-0005-0000-0000-0000580A0000}"/>
    <cellStyle name="_TG-TH_1_Bao cao XDCB 2001 - T11 KH dieu chinh 20-11-THAI_trinh bao gia_DUONG DOI THI XA-THU HOI-HC 2-3-07 xls" xfId="2064" xr:uid="{00000000-0005-0000-0000-0000590A0000}"/>
    <cellStyle name="_TG-TH_1_Bao cao XDCB 2001 - T11 KH dieu chinh 20-11-THAI_trinh bao gia_DUONG DOI THI XA-THU HOI-HC 2-3-07 xls_Song tra-750-tram nen" xfId="2065" xr:uid="{00000000-0005-0000-0000-00005A0A0000}"/>
    <cellStyle name="_TG-TH_1_Bao cao XDCB 2001 - T11 KH dieu chinh 20-11-THAI_trinh bao gia_DUONG DOI THI XA-THU HOI-HC 2-3-07 xls_Song tra-750-tram nen 2" xfId="3197" xr:uid="{00000000-0005-0000-0000-00005B0A0000}"/>
    <cellStyle name="_TG-TH_1_Bao cao XDCB 2001 - T11 KH dieu chinh 20-11-THAI_trinh bao gia_Gia cuoc van chuyen" xfId="2066" xr:uid="{00000000-0005-0000-0000-00005C0A0000}"/>
    <cellStyle name="_TG-TH_1_Bao cao XDCB 2001 - T11 KH dieu chinh 20-11-THAI_trinh bao gia_Khu dan cu SO 2(TK BV-TC)-1" xfId="2067" xr:uid="{00000000-0005-0000-0000-00005D0A0000}"/>
    <cellStyle name="_TG-TH_1_Bao cao XDCB 2001 - T11 KH dieu chinh 20-11-THAI_trinh bao gia_KHU DAN CU SUOI VANG" xfId="2068" xr:uid="{00000000-0005-0000-0000-00005E0A0000}"/>
    <cellStyle name="_TG-TH_1_Bao cao XDCB 2001 - T11 KH dieu chinh 20-11-THAI_trinh bao gia_Khu TDC Phuoc Trung" xfId="2069" xr:uid="{00000000-0005-0000-0000-00005F0A0000}"/>
    <cellStyle name="_TG-TH_1_Bao cao XDCB 2001 - T11 KH dieu chinh 20-11-THAI_trinh bao gia_Pham Van Thanh" xfId="2070" xr:uid="{00000000-0005-0000-0000-0000600A0000}"/>
    <cellStyle name="_TG-TH_1_Bao cao XDCB 2001 - T11 KH dieu chinh 20-11-THAI_trinh bao gia_Phuoc My Giai Doan 3-gia moi-14-10-uni" xfId="2071" xr:uid="{00000000-0005-0000-0000-0000610A0000}"/>
    <cellStyle name="_TG-TH_1_Bao cao XDCB 2001 - T11 KH dieu chinh 20-11-THAI_trinh bao gia_Song tra-750-tram nen" xfId="2072" xr:uid="{00000000-0005-0000-0000-0000620A0000}"/>
    <cellStyle name="_TG-TH_1_Bao cao XDCB 2001 - T11 KH dieu chinh 20-11-THAI_trinh bao gia_Song tra-750-tram nen 2" xfId="3198" xr:uid="{00000000-0005-0000-0000-0000630A0000}"/>
    <cellStyle name="_TG-TH_1_Bao cao XDCB 2001 - T11 KH dieu chinh 20-11-THAI_trinh bao gia_Thuan Bac-sua lai" xfId="2073" xr:uid="{00000000-0005-0000-0000-0000640A0000}"/>
    <cellStyle name="_TG-TH_1_Bao cao XDCB 2001 - T11 KH dieu chinh 20-11-THAI_trinh bao gia_VKim" xfId="2074" xr:uid="{00000000-0005-0000-0000-0000650A0000}"/>
    <cellStyle name="_TG-TH_1_Bao cao XDCB 2001 - T11 KH dieu chinh 20-11-THAI_Truong day nghe (20.1.06)" xfId="2075" xr:uid="{00000000-0005-0000-0000-0000660A0000}"/>
    <cellStyle name="_TG-TH_1_Bao cao XDCB 2001 - T11 KH dieu chinh 20-11-THAI_Truong day nghe (20.1.06) 2" xfId="3199" xr:uid="{00000000-0005-0000-0000-0000670A0000}"/>
    <cellStyle name="_TG-TH_1_Book1" xfId="2076" xr:uid="{00000000-0005-0000-0000-0000680A0000}"/>
    <cellStyle name="_TG-TH_1_Book1_06 Muoi Tri Hai" xfId="2077" xr:uid="{00000000-0005-0000-0000-0000690A0000}"/>
    <cellStyle name="_TG-TH_1_Book1_07-PHUOC HA.XLS-1" xfId="2078" xr:uid="{00000000-0005-0000-0000-00006A0A0000}"/>
    <cellStyle name="_TG-TH_1_Book1_07-PHUOC HA.XLS-1_Song tra-750-tram nen" xfId="2079" xr:uid="{00000000-0005-0000-0000-00006B0A0000}"/>
    <cellStyle name="_TG-TH_1_Book1_07-PHUOC HA.XLS-1_Song tra-750-tram nen 2" xfId="3200" xr:uid="{00000000-0005-0000-0000-00006C0A0000}"/>
    <cellStyle name="_TG-TH_1_Book1_1" xfId="2080" xr:uid="{00000000-0005-0000-0000-00006D0A0000}"/>
    <cellStyle name="_TG-TH_1_Book1_1_Book1" xfId="2081" xr:uid="{00000000-0005-0000-0000-00006E0A0000}"/>
    <cellStyle name="_TG-TH_1_Book1_1_Book1_Song tra-750-tram nen" xfId="2082" xr:uid="{00000000-0005-0000-0000-00006F0A0000}"/>
    <cellStyle name="_TG-TH_1_Book1_1_Book1_Song tra-750-tram nen 2" xfId="3201" xr:uid="{00000000-0005-0000-0000-0000700A0000}"/>
    <cellStyle name="_TG-TH_1_Book1_1_Song tra-750-tram nen" xfId="2083" xr:uid="{00000000-0005-0000-0000-0000710A0000}"/>
    <cellStyle name="_TG-TH_1_Book1_1_Song tra-750-tram nen 2" xfId="3202" xr:uid="{00000000-0005-0000-0000-0000720A0000}"/>
    <cellStyle name="_TG-TH_1_Book1_2" xfId="2084" xr:uid="{00000000-0005-0000-0000-0000730A0000}"/>
    <cellStyle name="_TG-TH_1_Book1_2_06 Thuy san Ninh Phuoc (luu 21-06)" xfId="2085" xr:uid="{00000000-0005-0000-0000-0000740A0000}"/>
    <cellStyle name="_TG-TH_1_Book1_2_BAO TRO XH-DU TOAN" xfId="2086" xr:uid="{00000000-0005-0000-0000-0000750A0000}"/>
    <cellStyle name="_TG-TH_1_Book1_2_BD" xfId="2087" xr:uid="{00000000-0005-0000-0000-0000760A0000}"/>
    <cellStyle name="_TG-TH_1_Book1_2_DI DOI TRUONG LE QUY DON-HC HOAN CONG" xfId="2088" xr:uid="{00000000-0005-0000-0000-0000770A0000}"/>
    <cellStyle name="_TG-TH_1_Book1_2_DT Ngoc Ha" xfId="2089" xr:uid="{00000000-0005-0000-0000-0000780A0000}"/>
    <cellStyle name="_TG-TH_1_Book1_2_DT Ngoc Ha_Song tra-750-tram nen" xfId="2090" xr:uid="{00000000-0005-0000-0000-0000790A0000}"/>
    <cellStyle name="_TG-TH_1_Book1_2_DUONG DOI TAN HOI-NEW 21-8-2006" xfId="2091" xr:uid="{00000000-0005-0000-0000-00007A0A0000}"/>
    <cellStyle name="_TG-TH_1_Book1_2_DUONG DOI THI XA-THU HOI-HC 2-3-07 xls" xfId="2092" xr:uid="{00000000-0005-0000-0000-00007B0A0000}"/>
    <cellStyle name="_TG-TH_1_Book1_2_DUONG DOI THI XA-THU HOI-HC 2-3-07 xls_Song tra-750-tram nen" xfId="2093" xr:uid="{00000000-0005-0000-0000-00007C0A0000}"/>
    <cellStyle name="_TG-TH_1_Book1_2_Gia cuoc van chuyen" xfId="2094" xr:uid="{00000000-0005-0000-0000-00007D0A0000}"/>
    <cellStyle name="_TG-TH_1_Book1_2_Khu dan cu SO 2(TK BV-TC)-1" xfId="2095" xr:uid="{00000000-0005-0000-0000-00007E0A0000}"/>
    <cellStyle name="_TG-TH_1_Book1_2_KHU DAN CU SUOI VANG" xfId="2096" xr:uid="{00000000-0005-0000-0000-00007F0A0000}"/>
    <cellStyle name="_TG-TH_1_Book1_2_Khu TDC Phuoc Trung" xfId="2097" xr:uid="{00000000-0005-0000-0000-0000800A0000}"/>
    <cellStyle name="_TG-TH_1_Book1_2_MUOI TINH PHUOC MINH" xfId="2098" xr:uid="{00000000-0005-0000-0000-0000810A0000}"/>
    <cellStyle name="_TG-TH_1_Book1_2_MUOI TINH PHUOC MINH_Song tra-750-tram nen" xfId="2099" xr:uid="{00000000-0005-0000-0000-0000820A0000}"/>
    <cellStyle name="_TG-TH_1_Book1_2_Pham Van Thanh" xfId="2100" xr:uid="{00000000-0005-0000-0000-0000830A0000}"/>
    <cellStyle name="_TG-TH_1_Book1_2_Phuoc My Giai Doan 3-gia moi-14-10-uni" xfId="2101" xr:uid="{00000000-0005-0000-0000-0000840A0000}"/>
    <cellStyle name="_TG-TH_1_Book1_2_Song tra-750-tram nen" xfId="2102" xr:uid="{00000000-0005-0000-0000-0000850A0000}"/>
    <cellStyle name="_TG-TH_1_Book1_2_TDC Tan My" xfId="2103" xr:uid="{00000000-0005-0000-0000-0000860A0000}"/>
    <cellStyle name="_TG-TH_1_Book1_2_TDC Tan My_Song tra-750-tram nen" xfId="2104" xr:uid="{00000000-0005-0000-0000-0000870A0000}"/>
    <cellStyle name="_TG-TH_1_Book1_2_Thuan Bac-sua lai" xfId="2105" xr:uid="{00000000-0005-0000-0000-0000880A0000}"/>
    <cellStyle name="_TG-TH_1_Book1_2_Truong day nghe (20.1.06)" xfId="2106" xr:uid="{00000000-0005-0000-0000-0000890A0000}"/>
    <cellStyle name="_TG-TH_1_Book1_2_VKim" xfId="2107" xr:uid="{00000000-0005-0000-0000-00008A0A0000}"/>
    <cellStyle name="_TG-TH_1_Book1_3" xfId="2108" xr:uid="{00000000-0005-0000-0000-00008B0A0000}"/>
    <cellStyle name="_TG-TH_1_Book1_3_Song tra-750-tram nen" xfId="2109" xr:uid="{00000000-0005-0000-0000-00008C0A0000}"/>
    <cellStyle name="_TG-TH_1_Book1_3_Song tra-750-tram nen 2" xfId="3203" xr:uid="{00000000-0005-0000-0000-00008D0A0000}"/>
    <cellStyle name="_TG-TH_1_Book1_6.BANG CHI TIET" xfId="2110" xr:uid="{00000000-0005-0000-0000-00008E0A0000}"/>
    <cellStyle name="_TG-TH_1_Book1_BC-QT-WB-dthao" xfId="2111" xr:uid="{00000000-0005-0000-0000-00008F0A0000}"/>
    <cellStyle name="_TG-TH_1_Book1_BC-QT-WB-dthao_Song tra-750-tram nen" xfId="2112" xr:uid="{00000000-0005-0000-0000-0000900A0000}"/>
    <cellStyle name="_TG-TH_1_Book1_BC-QT-WB-dthao_Song tra-750-tram nen 2" xfId="3204" xr:uid="{00000000-0005-0000-0000-0000910A0000}"/>
    <cellStyle name="_TG-TH_1_Book1_Book1" xfId="2113" xr:uid="{00000000-0005-0000-0000-0000920A0000}"/>
    <cellStyle name="_TG-TH_1_Book1_Book1_Song tra-750-tram nen" xfId="2114" xr:uid="{00000000-0005-0000-0000-0000930A0000}"/>
    <cellStyle name="_TG-TH_1_Book1_Book1_Song tra-750-tram nen 2" xfId="3205" xr:uid="{00000000-0005-0000-0000-0000940A0000}"/>
    <cellStyle name="_TG-TH_1_Book1_DT Ngoc Ha" xfId="2115" xr:uid="{00000000-0005-0000-0000-0000950A0000}"/>
    <cellStyle name="_TG-TH_1_Book1_DT Ngoc Ha_Song tra-750-tram nen" xfId="2116" xr:uid="{00000000-0005-0000-0000-0000960A0000}"/>
    <cellStyle name="_TG-TH_1_Book1_DT Ngoc Ha_Song tra-750-tram nen 2" xfId="3206" xr:uid="{00000000-0005-0000-0000-0000970A0000}"/>
    <cellStyle name="_TG-TH_1_Book1_Dutoan NC 22 khu vuc san bay  09-2006moi" xfId="3900" xr:uid="{00000000-0005-0000-0000-0000980A0000}"/>
    <cellStyle name="_TG-TH_1_Book1_KH2-06 PT LHT Binh Thanh 2003" xfId="2117" xr:uid="{00000000-0005-0000-0000-0000990A0000}"/>
    <cellStyle name="_TG-TH_1_Book1_KH2-06 PT LHT Binh Thanh 2003_Song tra-750-tram nen" xfId="2118" xr:uid="{00000000-0005-0000-0000-00009A0A0000}"/>
    <cellStyle name="_TG-TH_1_Book1_KH2-06 PT LHT Binh Thanh 2003_Song tra-750-tram nen 2" xfId="3207" xr:uid="{00000000-0005-0000-0000-00009B0A0000}"/>
    <cellStyle name="_TG-TH_1_Book1_MUOI TINH PHUOC MINH" xfId="2119" xr:uid="{00000000-0005-0000-0000-00009C0A0000}"/>
    <cellStyle name="_TG-TH_1_Book1_MUOI TINH PHUOC MINH_Song tra-750-tram nen" xfId="2120" xr:uid="{00000000-0005-0000-0000-00009D0A0000}"/>
    <cellStyle name="_TG-TH_1_Book1_MUOI TINH PHUOC MINH_Song tra-750-tram nen 2" xfId="3208" xr:uid="{00000000-0005-0000-0000-00009E0A0000}"/>
    <cellStyle name="_TG-TH_1_Book1_Song tra-750-tram nen" xfId="2121" xr:uid="{00000000-0005-0000-0000-00009F0A0000}"/>
    <cellStyle name="_TG-TH_1_Book1_Song tra-750-tram nen 2" xfId="3209" xr:uid="{00000000-0005-0000-0000-0000A00A0000}"/>
    <cellStyle name="_TG-TH_1_Book1_TDC Tan My" xfId="2122" xr:uid="{00000000-0005-0000-0000-0000A10A0000}"/>
    <cellStyle name="_TG-TH_1_Book1_TDC Tan My_Song tra-750-tram nen" xfId="2123" xr:uid="{00000000-0005-0000-0000-0000A20A0000}"/>
    <cellStyle name="_TG-TH_1_Book1_TDC Tan My_Song tra-750-tram nen 2" xfId="3210" xr:uid="{00000000-0005-0000-0000-0000A30A0000}"/>
    <cellStyle name="_TG-TH_1_Book1_THANHLOC Khai Hung" xfId="2124" xr:uid="{00000000-0005-0000-0000-0000A40A0000}"/>
    <cellStyle name="_TG-TH_1_Book1_THANHLOC Khai Hung_Song tra-750-tram nen" xfId="2125" xr:uid="{00000000-0005-0000-0000-0000A50A0000}"/>
    <cellStyle name="_TG-TH_1_Book1_THANHLOC Khai Hung_Song tra-750-tram nen 2" xfId="3211" xr:uid="{00000000-0005-0000-0000-0000A60A0000}"/>
    <cellStyle name="_TG-TH_1_Book1_Truong day nghe (20.1.06)" xfId="2126" xr:uid="{00000000-0005-0000-0000-0000A70A0000}"/>
    <cellStyle name="_TG-TH_1_Book1_Truong day nghe (20.1.06) 2" xfId="3212" xr:uid="{00000000-0005-0000-0000-0000A80A0000}"/>
    <cellStyle name="_TG-TH_1_DAU NOI PL-CL TAI PHU LAMHC" xfId="2127" xr:uid="{00000000-0005-0000-0000-0000A90A0000}"/>
    <cellStyle name="_TG-TH_1_DAU NOI PL-CL TAI PHU LAMHC_Song tra-750-tram nen" xfId="2128" xr:uid="{00000000-0005-0000-0000-0000AA0A0000}"/>
    <cellStyle name="_TG-TH_1_DAU NOI PL-CL TAI PHU LAMHC_Song tra-750-tram nen 2" xfId="3213" xr:uid="{00000000-0005-0000-0000-0000AB0A0000}"/>
    <cellStyle name="_TG-TH_1_Dien Ke thon Phuoc Nhon 2" xfId="2129" xr:uid="{00000000-0005-0000-0000-0000AC0A0000}"/>
    <cellStyle name="_TG-TH_1_DT Ngoc Ha" xfId="2130" xr:uid="{00000000-0005-0000-0000-0000AD0A0000}"/>
    <cellStyle name="_TG-TH_1_DT Ngoc Ha_Song tra-750-tram nen" xfId="2131" xr:uid="{00000000-0005-0000-0000-0000AE0A0000}"/>
    <cellStyle name="_TG-TH_1_DT Ngoc Ha_Song tra-750-tram nen 2" xfId="3214" xr:uid="{00000000-0005-0000-0000-0000AF0A0000}"/>
    <cellStyle name="_TG-TH_1_DTCDT MR.2N110.HOCMON.TDTOAN.CCUNG" xfId="2132" xr:uid="{00000000-0005-0000-0000-0000B00A0000}"/>
    <cellStyle name="_TG-TH_1_DTCDT MR.2N110.HOCMON.TDTOAN.CCUNG_Song tra-750-tram nen" xfId="2133" xr:uid="{00000000-0005-0000-0000-0000B10A0000}"/>
    <cellStyle name="_TG-TH_1_DTCDT MR.2N110.HOCMON.TDTOAN.CCUNG_Song tra-750-tram nen 2" xfId="3215" xr:uid="{00000000-0005-0000-0000-0000B20A0000}"/>
    <cellStyle name="_TG-TH_1_Du toan thay ong ep va da composite sua" xfId="3901" xr:uid="{00000000-0005-0000-0000-0000B30A0000}"/>
    <cellStyle name="_TG-TH_1_Du toan tram GDEN2 giai doan 2" xfId="2134" xr:uid="{00000000-0005-0000-0000-0000B40A0000}"/>
    <cellStyle name="_TG-TH_1_Du toan tram PHUOC NHON 2 giai doan 2" xfId="2135" xr:uid="{00000000-0005-0000-0000-0000B50A0000}"/>
    <cellStyle name="_TG-TH_1_Dutoan NC 22 khu vuc san bay  09-2006moi" xfId="3902" xr:uid="{00000000-0005-0000-0000-0000B60A0000}"/>
    <cellStyle name="_TG-TH_1_DUTOAN_DAMDOI_PD1" xfId="2136" xr:uid="{00000000-0005-0000-0000-0000B70A0000}"/>
    <cellStyle name="_TG-TH_1_DUTOAN_DAMDOI_PD1_Song tra-750-tram nen" xfId="2137" xr:uid="{00000000-0005-0000-0000-0000B80A0000}"/>
    <cellStyle name="_TG-TH_1_DUTOAN_DAMDOI_PD1_Song tra-750-tram nen 2" xfId="3216" xr:uid="{00000000-0005-0000-0000-0000B90A0000}"/>
    <cellStyle name="_TG-TH_1_KH2-06 PT LHT Binh Thanh 2003" xfId="2138" xr:uid="{00000000-0005-0000-0000-0000BA0A0000}"/>
    <cellStyle name="_TG-TH_1_KH2-06 PT LHT Binh Thanh 2003_Book1" xfId="2139" xr:uid="{00000000-0005-0000-0000-0000BB0A0000}"/>
    <cellStyle name="_TG-TH_1_KH2-06 PT LHT Binh Thanh 2003_Book1_Song tra-750-tram nen" xfId="2140" xr:uid="{00000000-0005-0000-0000-0000BC0A0000}"/>
    <cellStyle name="_TG-TH_1_KH2-06 PT LHT Binh Thanh 2003_Book1_Song tra-750-tram nen 2" xfId="3217" xr:uid="{00000000-0005-0000-0000-0000BD0A0000}"/>
    <cellStyle name="_TG-TH_1_KH2-06 PT LHT Binh Thanh 2003_Song tra-750-tram nen" xfId="2141" xr:uid="{00000000-0005-0000-0000-0000BE0A0000}"/>
    <cellStyle name="_TG-TH_1_KH2-06 PT LHT Binh Thanh 2003_Song tra-750-tram nen 2" xfId="3218" xr:uid="{00000000-0005-0000-0000-0000BF0A0000}"/>
    <cellStyle name="_TG-TH_1_KH2-06 PT LHT Binh Thanh 2003_trinh bao gia" xfId="2142" xr:uid="{00000000-0005-0000-0000-0000C00A0000}"/>
    <cellStyle name="_TG-TH_1_KH2-06 PT LHT Binh Thanh 2003_trinh bao gia_06 Thuy san Ninh Phuoc (luu 21-06)" xfId="2143" xr:uid="{00000000-0005-0000-0000-0000C10A0000}"/>
    <cellStyle name="_TG-TH_1_KH2-06 PT LHT Binh Thanh 2003_trinh bao gia_BAO TRO XH-DU TOAN" xfId="2144" xr:uid="{00000000-0005-0000-0000-0000C20A0000}"/>
    <cellStyle name="_TG-TH_1_KH2-06 PT LHT Binh Thanh 2003_trinh bao gia_BD" xfId="2145" xr:uid="{00000000-0005-0000-0000-0000C30A0000}"/>
    <cellStyle name="_TG-TH_1_KH2-06 PT LHT Binh Thanh 2003_trinh bao gia_DI DOI TRUONG LE QUY DON-HC HOAN CONG" xfId="2146" xr:uid="{00000000-0005-0000-0000-0000C40A0000}"/>
    <cellStyle name="_TG-TH_1_KH2-06 PT LHT Binh Thanh 2003_trinh bao gia_DUONG DOI TAN HOI-NEW 21-8-2006" xfId="2147" xr:uid="{00000000-0005-0000-0000-0000C50A0000}"/>
    <cellStyle name="_TG-TH_1_KH2-06 PT LHT Binh Thanh 2003_trinh bao gia_DUONG DOI THI XA-THU HOI-HC 2-3-07 xls" xfId="2148" xr:uid="{00000000-0005-0000-0000-0000C60A0000}"/>
    <cellStyle name="_TG-TH_1_KH2-06 PT LHT Binh Thanh 2003_trinh bao gia_DUONG DOI THI XA-THU HOI-HC 2-3-07 xls_Song tra-750-tram nen" xfId="2149" xr:uid="{00000000-0005-0000-0000-0000C70A0000}"/>
    <cellStyle name="_TG-TH_1_KH2-06 PT LHT Binh Thanh 2003_trinh bao gia_DUONG DOI THI XA-THU HOI-HC 2-3-07 xls_Song tra-750-tram nen 2" xfId="3219" xr:uid="{00000000-0005-0000-0000-0000C80A0000}"/>
    <cellStyle name="_TG-TH_1_KH2-06 PT LHT Binh Thanh 2003_trinh bao gia_Gia cuoc van chuyen" xfId="2150" xr:uid="{00000000-0005-0000-0000-0000C90A0000}"/>
    <cellStyle name="_TG-TH_1_KH2-06 PT LHT Binh Thanh 2003_trinh bao gia_Khu dan cu SO 2(TK BV-TC)-1" xfId="2151" xr:uid="{00000000-0005-0000-0000-0000CA0A0000}"/>
    <cellStyle name="_TG-TH_1_KH2-06 PT LHT Binh Thanh 2003_trinh bao gia_KHU DAN CU SUOI VANG" xfId="2152" xr:uid="{00000000-0005-0000-0000-0000CB0A0000}"/>
    <cellStyle name="_TG-TH_1_KH2-06 PT LHT Binh Thanh 2003_trinh bao gia_Khu TDC Phuoc Trung" xfId="2153" xr:uid="{00000000-0005-0000-0000-0000CC0A0000}"/>
    <cellStyle name="_TG-TH_1_KH2-06 PT LHT Binh Thanh 2003_trinh bao gia_Pham Van Thanh" xfId="2154" xr:uid="{00000000-0005-0000-0000-0000CD0A0000}"/>
    <cellStyle name="_TG-TH_1_KH2-06 PT LHT Binh Thanh 2003_trinh bao gia_Phuoc My Giai Doan 3-gia moi-14-10-uni" xfId="2155" xr:uid="{00000000-0005-0000-0000-0000CE0A0000}"/>
    <cellStyle name="_TG-TH_1_KH2-06 PT LHT Binh Thanh 2003_trinh bao gia_Song tra-750-tram nen" xfId="2156" xr:uid="{00000000-0005-0000-0000-0000CF0A0000}"/>
    <cellStyle name="_TG-TH_1_KH2-06 PT LHT Binh Thanh 2003_trinh bao gia_Song tra-750-tram nen 2" xfId="3220" xr:uid="{00000000-0005-0000-0000-0000D00A0000}"/>
    <cellStyle name="_TG-TH_1_KH2-06 PT LHT Binh Thanh 2003_trinh bao gia_Thuan Bac-sua lai" xfId="2157" xr:uid="{00000000-0005-0000-0000-0000D10A0000}"/>
    <cellStyle name="_TG-TH_1_KH2-06 PT LHT Binh Thanh 2003_trinh bao gia_VKim" xfId="2158" xr:uid="{00000000-0005-0000-0000-0000D20A0000}"/>
    <cellStyle name="_TG-TH_1_KINH DOANH_ SCL 2015" xfId="3903" xr:uid="{00000000-0005-0000-0000-0000D30A0000}"/>
    <cellStyle name="_TG-TH_1_Lora-tungchau" xfId="2159" xr:uid="{00000000-0005-0000-0000-0000D40A0000}"/>
    <cellStyle name="_TG-TH_1_Lora-tungchau_Song tra-750-tram nen" xfId="2160" xr:uid="{00000000-0005-0000-0000-0000D50A0000}"/>
    <cellStyle name="_TG-TH_1_Lora-tungchau_Song tra-750-tram nen 2" xfId="3221" xr:uid="{00000000-0005-0000-0000-0000D60A0000}"/>
    <cellStyle name="_TG-TH_1_MUOI TINH PHUOC MINH" xfId="2161" xr:uid="{00000000-0005-0000-0000-0000D70A0000}"/>
    <cellStyle name="_TG-TH_1_MUOI TINH PHUOC MINH_Song tra-750-tram nen" xfId="2162" xr:uid="{00000000-0005-0000-0000-0000D80A0000}"/>
    <cellStyle name="_TG-TH_1_MUOI TINH PHUOC MINH_Song tra-750-tram nen 2" xfId="3222" xr:uid="{00000000-0005-0000-0000-0000D90A0000}"/>
    <cellStyle name="_TG-TH_1_PGIA-phieu tham tra Kho bac" xfId="2163" xr:uid="{00000000-0005-0000-0000-0000DA0A0000}"/>
    <cellStyle name="_TG-TH_1_PGIA-phieu tham tra Kho bac_Book1" xfId="2164" xr:uid="{00000000-0005-0000-0000-0000DB0A0000}"/>
    <cellStyle name="_TG-TH_1_PGIA-phieu tham tra Kho bac_Book1_Song tra-750-tram nen" xfId="2165" xr:uid="{00000000-0005-0000-0000-0000DC0A0000}"/>
    <cellStyle name="_TG-TH_1_PGIA-phieu tham tra Kho bac_Book1_Song tra-750-tram nen 2" xfId="3223" xr:uid="{00000000-0005-0000-0000-0000DD0A0000}"/>
    <cellStyle name="_TG-TH_1_PGIA-phieu tham tra Kho bac_DT Ngoc Ha" xfId="2166" xr:uid="{00000000-0005-0000-0000-0000DE0A0000}"/>
    <cellStyle name="_TG-TH_1_PGIA-phieu tham tra Kho bac_DT Ngoc Ha_Song tra-750-tram nen" xfId="2167" xr:uid="{00000000-0005-0000-0000-0000DF0A0000}"/>
    <cellStyle name="_TG-TH_1_PGIA-phieu tham tra Kho bac_DT Ngoc Ha_Song tra-750-tram nen 2" xfId="3224" xr:uid="{00000000-0005-0000-0000-0000E00A0000}"/>
    <cellStyle name="_TG-TH_1_PGIA-phieu tham tra Kho bac_MUOI TINH PHUOC MINH" xfId="2168" xr:uid="{00000000-0005-0000-0000-0000E10A0000}"/>
    <cellStyle name="_TG-TH_1_PGIA-phieu tham tra Kho bac_MUOI TINH PHUOC MINH_Song tra-750-tram nen" xfId="2169" xr:uid="{00000000-0005-0000-0000-0000E20A0000}"/>
    <cellStyle name="_TG-TH_1_PGIA-phieu tham tra Kho bac_MUOI TINH PHUOC MINH_Song tra-750-tram nen 2" xfId="3225" xr:uid="{00000000-0005-0000-0000-0000E30A0000}"/>
    <cellStyle name="_TG-TH_1_PGIA-phieu tham tra Kho bac_Song tra-750-tram nen" xfId="2170" xr:uid="{00000000-0005-0000-0000-0000E40A0000}"/>
    <cellStyle name="_TG-TH_1_PGIA-phieu tham tra Kho bac_Song tra-750-tram nen 2" xfId="3226" xr:uid="{00000000-0005-0000-0000-0000E50A0000}"/>
    <cellStyle name="_TG-TH_1_PGIA-phieu tham tra Kho bac_TDC Tan My" xfId="2171" xr:uid="{00000000-0005-0000-0000-0000E60A0000}"/>
    <cellStyle name="_TG-TH_1_PGIA-phieu tham tra Kho bac_TDC Tan My_Song tra-750-tram nen" xfId="2172" xr:uid="{00000000-0005-0000-0000-0000E70A0000}"/>
    <cellStyle name="_TG-TH_1_PGIA-phieu tham tra Kho bac_TDC Tan My_Song tra-750-tram nen 2" xfId="3227" xr:uid="{00000000-0005-0000-0000-0000E80A0000}"/>
    <cellStyle name="_TG-TH_1_PGIA-phieu tham tra Kho bac_trinh bao gia" xfId="2173" xr:uid="{00000000-0005-0000-0000-0000E90A0000}"/>
    <cellStyle name="_TG-TH_1_PGIA-phieu tham tra Kho bac_trinh bao gia_06 Thuy san Ninh Phuoc (luu 21-06)" xfId="2174" xr:uid="{00000000-0005-0000-0000-0000EA0A0000}"/>
    <cellStyle name="_TG-TH_1_PGIA-phieu tham tra Kho bac_trinh bao gia_BAO TRO XH-DU TOAN" xfId="2175" xr:uid="{00000000-0005-0000-0000-0000EB0A0000}"/>
    <cellStyle name="_TG-TH_1_PGIA-phieu tham tra Kho bac_trinh bao gia_BD" xfId="2176" xr:uid="{00000000-0005-0000-0000-0000EC0A0000}"/>
    <cellStyle name="_TG-TH_1_PGIA-phieu tham tra Kho bac_trinh bao gia_DI DOI TRUONG LE QUY DON-HC HOAN CONG" xfId="2177" xr:uid="{00000000-0005-0000-0000-0000ED0A0000}"/>
    <cellStyle name="_TG-TH_1_PGIA-phieu tham tra Kho bac_trinh bao gia_DUONG DOI TAN HOI-NEW 21-8-2006" xfId="2178" xr:uid="{00000000-0005-0000-0000-0000EE0A0000}"/>
    <cellStyle name="_TG-TH_1_PGIA-phieu tham tra Kho bac_trinh bao gia_DUONG DOI THI XA-THU HOI-HC 2-3-07 xls" xfId="2179" xr:uid="{00000000-0005-0000-0000-0000EF0A0000}"/>
    <cellStyle name="_TG-TH_1_PGIA-phieu tham tra Kho bac_trinh bao gia_DUONG DOI THI XA-THU HOI-HC 2-3-07 xls_Song tra-750-tram nen" xfId="2180" xr:uid="{00000000-0005-0000-0000-0000F00A0000}"/>
    <cellStyle name="_TG-TH_1_PGIA-phieu tham tra Kho bac_trinh bao gia_DUONG DOI THI XA-THU HOI-HC 2-3-07 xls_Song tra-750-tram nen 2" xfId="3228" xr:uid="{00000000-0005-0000-0000-0000F10A0000}"/>
    <cellStyle name="_TG-TH_1_PGIA-phieu tham tra Kho bac_trinh bao gia_Gia cuoc van chuyen" xfId="2181" xr:uid="{00000000-0005-0000-0000-0000F20A0000}"/>
    <cellStyle name="_TG-TH_1_PGIA-phieu tham tra Kho bac_trinh bao gia_Khu dan cu SO 2(TK BV-TC)-1" xfId="2182" xr:uid="{00000000-0005-0000-0000-0000F30A0000}"/>
    <cellStyle name="_TG-TH_1_PGIA-phieu tham tra Kho bac_trinh bao gia_KHU DAN CU SUOI VANG" xfId="2183" xr:uid="{00000000-0005-0000-0000-0000F40A0000}"/>
    <cellStyle name="_TG-TH_1_PGIA-phieu tham tra Kho bac_trinh bao gia_Khu TDC Phuoc Trung" xfId="2184" xr:uid="{00000000-0005-0000-0000-0000F50A0000}"/>
    <cellStyle name="_TG-TH_1_PGIA-phieu tham tra Kho bac_trinh bao gia_Pham Van Thanh" xfId="2185" xr:uid="{00000000-0005-0000-0000-0000F60A0000}"/>
    <cellStyle name="_TG-TH_1_PGIA-phieu tham tra Kho bac_trinh bao gia_Phuoc My Giai Doan 3-gia moi-14-10-uni" xfId="2186" xr:uid="{00000000-0005-0000-0000-0000F70A0000}"/>
    <cellStyle name="_TG-TH_1_PGIA-phieu tham tra Kho bac_trinh bao gia_Song tra-750-tram nen" xfId="2187" xr:uid="{00000000-0005-0000-0000-0000F80A0000}"/>
    <cellStyle name="_TG-TH_1_PGIA-phieu tham tra Kho bac_trinh bao gia_Song tra-750-tram nen 2" xfId="3229" xr:uid="{00000000-0005-0000-0000-0000F90A0000}"/>
    <cellStyle name="_TG-TH_1_PGIA-phieu tham tra Kho bac_trinh bao gia_Thuan Bac-sua lai" xfId="2188" xr:uid="{00000000-0005-0000-0000-0000FA0A0000}"/>
    <cellStyle name="_TG-TH_1_PGIA-phieu tham tra Kho bac_trinh bao gia_VKim" xfId="2189" xr:uid="{00000000-0005-0000-0000-0000FB0A0000}"/>
    <cellStyle name="_TG-TH_1_PGIA-phieu tham tra Kho bac_Truong day nghe (20.1.06)" xfId="2190" xr:uid="{00000000-0005-0000-0000-0000FC0A0000}"/>
    <cellStyle name="_TG-TH_1_PGIA-phieu tham tra Kho bac_Truong day nghe (20.1.06) 2" xfId="3230" xr:uid="{00000000-0005-0000-0000-0000FD0A0000}"/>
    <cellStyle name="_TG-TH_1_PHUOC HUU" xfId="2191" xr:uid="{00000000-0005-0000-0000-0000FE0A0000}"/>
    <cellStyle name="_TG-TH_1_PHUOC HUU_Song tra-750-tram nen" xfId="2192" xr:uid="{00000000-0005-0000-0000-0000FF0A0000}"/>
    <cellStyle name="_TG-TH_1_PHUOC HUU_Song tra-750-tram nen 2" xfId="3231" xr:uid="{00000000-0005-0000-0000-0000000B0000}"/>
    <cellStyle name="_TG-TH_1_PT02-02" xfId="2193" xr:uid="{00000000-0005-0000-0000-0000010B0000}"/>
    <cellStyle name="_TG-TH_1_PT02-02_Book1" xfId="2194" xr:uid="{00000000-0005-0000-0000-0000020B0000}"/>
    <cellStyle name="_TG-TH_1_PT02-02_Book1_Song tra-750-tram nen" xfId="2195" xr:uid="{00000000-0005-0000-0000-0000030B0000}"/>
    <cellStyle name="_TG-TH_1_PT02-02_Book1_Song tra-750-tram nen 2" xfId="3232" xr:uid="{00000000-0005-0000-0000-0000040B0000}"/>
    <cellStyle name="_TG-TH_1_PT02-02_DT Ngoc Ha" xfId="2196" xr:uid="{00000000-0005-0000-0000-0000050B0000}"/>
    <cellStyle name="_TG-TH_1_PT02-02_DT Ngoc Ha_Song tra-750-tram nen" xfId="2197" xr:uid="{00000000-0005-0000-0000-0000060B0000}"/>
    <cellStyle name="_TG-TH_1_PT02-02_DT Ngoc Ha_Song tra-750-tram nen 2" xfId="3233" xr:uid="{00000000-0005-0000-0000-0000070B0000}"/>
    <cellStyle name="_TG-TH_1_PT02-02_MUOI TINH PHUOC MINH" xfId="2198" xr:uid="{00000000-0005-0000-0000-0000080B0000}"/>
    <cellStyle name="_TG-TH_1_PT02-02_MUOI TINH PHUOC MINH_Song tra-750-tram nen" xfId="2199" xr:uid="{00000000-0005-0000-0000-0000090B0000}"/>
    <cellStyle name="_TG-TH_1_PT02-02_MUOI TINH PHUOC MINH_Song tra-750-tram nen 2" xfId="3234" xr:uid="{00000000-0005-0000-0000-00000A0B0000}"/>
    <cellStyle name="_TG-TH_1_PT02-02_Song tra-750-tram nen" xfId="2200" xr:uid="{00000000-0005-0000-0000-00000B0B0000}"/>
    <cellStyle name="_TG-TH_1_PT02-02_Song tra-750-tram nen 2" xfId="3235" xr:uid="{00000000-0005-0000-0000-00000C0B0000}"/>
    <cellStyle name="_TG-TH_1_PT02-02_TDC Tan My" xfId="2201" xr:uid="{00000000-0005-0000-0000-00000D0B0000}"/>
    <cellStyle name="_TG-TH_1_PT02-02_TDC Tan My_Song tra-750-tram nen" xfId="2202" xr:uid="{00000000-0005-0000-0000-00000E0B0000}"/>
    <cellStyle name="_TG-TH_1_PT02-02_TDC Tan My_Song tra-750-tram nen 2" xfId="3236" xr:uid="{00000000-0005-0000-0000-00000F0B0000}"/>
    <cellStyle name="_TG-TH_1_PT02-02_trinh bao gia" xfId="2203" xr:uid="{00000000-0005-0000-0000-0000100B0000}"/>
    <cellStyle name="_TG-TH_1_PT02-02_trinh bao gia_06 Thuy san Ninh Phuoc (luu 21-06)" xfId="3237" xr:uid="{00000000-0005-0000-0000-0000110B0000}"/>
    <cellStyle name="_TG-TH_1_PT02-02_trinh bao gia_BAO TRO XH-DU TOAN" xfId="3238" xr:uid="{00000000-0005-0000-0000-0000120B0000}"/>
    <cellStyle name="_TG-TH_1_PT02-02_trinh bao gia_BD" xfId="3239" xr:uid="{00000000-0005-0000-0000-0000130B0000}"/>
    <cellStyle name="_TG-TH_1_PT02-02_trinh bao gia_DI DOI TRUONG LE QUY DON-HC HOAN CONG" xfId="3240" xr:uid="{00000000-0005-0000-0000-0000140B0000}"/>
    <cellStyle name="_TG-TH_1_PT02-02_trinh bao gia_DUONG DOI TAN HOI-NEW 21-8-2006" xfId="3241" xr:uid="{00000000-0005-0000-0000-0000150B0000}"/>
    <cellStyle name="_TG-TH_1_PT02-02_trinh bao gia_DUONG DOI THI XA-THU HOI-HC 2-3-07 xls" xfId="3242" xr:uid="{00000000-0005-0000-0000-0000160B0000}"/>
    <cellStyle name="_TG-TH_1_PT02-02_trinh bao gia_DUONG DOI THI XA-THU HOI-HC 2-3-07 xls_Song tra-750-tram nen" xfId="3243" xr:uid="{00000000-0005-0000-0000-0000170B0000}"/>
    <cellStyle name="_TG-TH_1_PT02-02_trinh bao gia_DUONG DOI THI XA-THU HOI-HC 2-3-07 xls_Song tra-750-tram nen 2" xfId="3244" xr:uid="{00000000-0005-0000-0000-0000180B0000}"/>
    <cellStyle name="_TG-TH_1_PT02-02_trinh bao gia_Gia cuoc van chuyen" xfId="3245" xr:uid="{00000000-0005-0000-0000-0000190B0000}"/>
    <cellStyle name="_TG-TH_1_PT02-02_trinh bao gia_Khu dan cu SO 2(TK BV-TC)-1" xfId="3246" xr:uid="{00000000-0005-0000-0000-00001A0B0000}"/>
    <cellStyle name="_TG-TH_1_PT02-02_trinh bao gia_KHU DAN CU SUOI VANG" xfId="3247" xr:uid="{00000000-0005-0000-0000-00001B0B0000}"/>
    <cellStyle name="_TG-TH_1_PT02-02_trinh bao gia_Khu TDC Phuoc Trung" xfId="3248" xr:uid="{00000000-0005-0000-0000-00001C0B0000}"/>
    <cellStyle name="_TG-TH_1_PT02-02_trinh bao gia_Pham Van Thanh" xfId="3249" xr:uid="{00000000-0005-0000-0000-00001D0B0000}"/>
    <cellStyle name="_TG-TH_1_PT02-02_trinh bao gia_Phuoc My Giai Doan 3-gia moi-14-10-uni" xfId="3250" xr:uid="{00000000-0005-0000-0000-00001E0B0000}"/>
    <cellStyle name="_TG-TH_1_PT02-02_trinh bao gia_Song tra-750-tram nen" xfId="3251" xr:uid="{00000000-0005-0000-0000-00001F0B0000}"/>
    <cellStyle name="_TG-TH_1_PT02-02_trinh bao gia_Song tra-750-tram nen 2" xfId="3252" xr:uid="{00000000-0005-0000-0000-0000200B0000}"/>
    <cellStyle name="_TG-TH_1_PT02-02_trinh bao gia_Thuan Bac-sua lai" xfId="3253" xr:uid="{00000000-0005-0000-0000-0000210B0000}"/>
    <cellStyle name="_TG-TH_1_PT02-02_trinh bao gia_VKim" xfId="3254" xr:uid="{00000000-0005-0000-0000-0000220B0000}"/>
    <cellStyle name="_TG-TH_1_PT02-02_Truong day nghe (20.1.06)" xfId="3255" xr:uid="{00000000-0005-0000-0000-0000230B0000}"/>
    <cellStyle name="_TG-TH_1_PT02-02_Truong day nghe (20.1.06) 2" xfId="3256" xr:uid="{00000000-0005-0000-0000-0000240B0000}"/>
    <cellStyle name="_TG-TH_1_PT02-03" xfId="2204" xr:uid="{00000000-0005-0000-0000-0000250B0000}"/>
    <cellStyle name="_TG-TH_1_PT02-03_Book1" xfId="2205" xr:uid="{00000000-0005-0000-0000-0000260B0000}"/>
    <cellStyle name="_TG-TH_1_PT02-03_Book1_Song tra-750-tram nen" xfId="3257" xr:uid="{00000000-0005-0000-0000-0000270B0000}"/>
    <cellStyle name="_TG-TH_1_PT02-03_Book1_Song tra-750-tram nen 2" xfId="3258" xr:uid="{00000000-0005-0000-0000-0000280B0000}"/>
    <cellStyle name="_TG-TH_1_PT02-03_DT Ngoc Ha" xfId="3259" xr:uid="{00000000-0005-0000-0000-0000290B0000}"/>
    <cellStyle name="_TG-TH_1_PT02-03_DT Ngoc Ha_Song tra-750-tram nen" xfId="3260" xr:uid="{00000000-0005-0000-0000-00002A0B0000}"/>
    <cellStyle name="_TG-TH_1_PT02-03_DT Ngoc Ha_Song tra-750-tram nen 2" xfId="3261" xr:uid="{00000000-0005-0000-0000-00002B0B0000}"/>
    <cellStyle name="_TG-TH_1_PT02-03_MUOI TINH PHUOC MINH" xfId="3262" xr:uid="{00000000-0005-0000-0000-00002C0B0000}"/>
    <cellStyle name="_TG-TH_1_PT02-03_MUOI TINH PHUOC MINH_Song tra-750-tram nen" xfId="3263" xr:uid="{00000000-0005-0000-0000-00002D0B0000}"/>
    <cellStyle name="_TG-TH_1_PT02-03_MUOI TINH PHUOC MINH_Song tra-750-tram nen 2" xfId="3264" xr:uid="{00000000-0005-0000-0000-00002E0B0000}"/>
    <cellStyle name="_TG-TH_1_PT02-03_Song tra-750-tram nen" xfId="3265" xr:uid="{00000000-0005-0000-0000-00002F0B0000}"/>
    <cellStyle name="_TG-TH_1_PT02-03_Song tra-750-tram nen 2" xfId="3266" xr:uid="{00000000-0005-0000-0000-0000300B0000}"/>
    <cellStyle name="_TG-TH_1_PT02-03_TDC Tan My" xfId="3267" xr:uid="{00000000-0005-0000-0000-0000310B0000}"/>
    <cellStyle name="_TG-TH_1_PT02-03_TDC Tan My_Song tra-750-tram nen" xfId="3268" xr:uid="{00000000-0005-0000-0000-0000320B0000}"/>
    <cellStyle name="_TG-TH_1_PT02-03_TDC Tan My_Song tra-750-tram nen 2" xfId="3269" xr:uid="{00000000-0005-0000-0000-0000330B0000}"/>
    <cellStyle name="_TG-TH_1_PT02-03_trinh bao gia" xfId="2206" xr:uid="{00000000-0005-0000-0000-0000340B0000}"/>
    <cellStyle name="_TG-TH_1_PT02-03_trinh bao gia_06 Thuy san Ninh Phuoc (luu 21-06)" xfId="3270" xr:uid="{00000000-0005-0000-0000-0000350B0000}"/>
    <cellStyle name="_TG-TH_1_PT02-03_trinh bao gia_BAO TRO XH-DU TOAN" xfId="3271" xr:uid="{00000000-0005-0000-0000-0000360B0000}"/>
    <cellStyle name="_TG-TH_1_PT02-03_trinh bao gia_BD" xfId="3272" xr:uid="{00000000-0005-0000-0000-0000370B0000}"/>
    <cellStyle name="_TG-TH_1_PT02-03_trinh bao gia_DI DOI TRUONG LE QUY DON-HC HOAN CONG" xfId="3273" xr:uid="{00000000-0005-0000-0000-0000380B0000}"/>
    <cellStyle name="_TG-TH_1_PT02-03_trinh bao gia_DUONG DOI TAN HOI-NEW 21-8-2006" xfId="3274" xr:uid="{00000000-0005-0000-0000-0000390B0000}"/>
    <cellStyle name="_TG-TH_1_PT02-03_trinh bao gia_DUONG DOI THI XA-THU HOI-HC 2-3-07 xls" xfId="3275" xr:uid="{00000000-0005-0000-0000-00003A0B0000}"/>
    <cellStyle name="_TG-TH_1_PT02-03_trinh bao gia_DUONG DOI THI XA-THU HOI-HC 2-3-07 xls_Song tra-750-tram nen" xfId="3276" xr:uid="{00000000-0005-0000-0000-00003B0B0000}"/>
    <cellStyle name="_TG-TH_1_PT02-03_trinh bao gia_DUONG DOI THI XA-THU HOI-HC 2-3-07 xls_Song tra-750-tram nen 2" xfId="3277" xr:uid="{00000000-0005-0000-0000-00003C0B0000}"/>
    <cellStyle name="_TG-TH_1_PT02-03_trinh bao gia_Gia cuoc van chuyen" xfId="3278" xr:uid="{00000000-0005-0000-0000-00003D0B0000}"/>
    <cellStyle name="_TG-TH_1_PT02-03_trinh bao gia_Khu dan cu SO 2(TK BV-TC)-1" xfId="3279" xr:uid="{00000000-0005-0000-0000-00003E0B0000}"/>
    <cellStyle name="_TG-TH_1_PT02-03_trinh bao gia_KHU DAN CU SUOI VANG" xfId="3280" xr:uid="{00000000-0005-0000-0000-00003F0B0000}"/>
    <cellStyle name="_TG-TH_1_PT02-03_trinh bao gia_Khu TDC Phuoc Trung" xfId="3281" xr:uid="{00000000-0005-0000-0000-0000400B0000}"/>
    <cellStyle name="_TG-TH_1_PT02-03_trinh bao gia_Pham Van Thanh" xfId="3282" xr:uid="{00000000-0005-0000-0000-0000410B0000}"/>
    <cellStyle name="_TG-TH_1_PT02-03_trinh bao gia_Phuoc My Giai Doan 3-gia moi-14-10-uni" xfId="3283" xr:uid="{00000000-0005-0000-0000-0000420B0000}"/>
    <cellStyle name="_TG-TH_1_PT02-03_trinh bao gia_Song tra-750-tram nen" xfId="3284" xr:uid="{00000000-0005-0000-0000-0000430B0000}"/>
    <cellStyle name="_TG-TH_1_PT02-03_trinh bao gia_Song tra-750-tram nen 2" xfId="3285" xr:uid="{00000000-0005-0000-0000-0000440B0000}"/>
    <cellStyle name="_TG-TH_1_PT02-03_trinh bao gia_Thuan Bac-sua lai" xfId="3286" xr:uid="{00000000-0005-0000-0000-0000450B0000}"/>
    <cellStyle name="_TG-TH_1_PT02-03_trinh bao gia_VKim" xfId="3287" xr:uid="{00000000-0005-0000-0000-0000460B0000}"/>
    <cellStyle name="_TG-TH_1_PT02-03_Truong day nghe (20.1.06)" xfId="3288" xr:uid="{00000000-0005-0000-0000-0000470B0000}"/>
    <cellStyle name="_TG-TH_1_PT02-03_Truong day nghe (20.1.06) 2" xfId="3289" xr:uid="{00000000-0005-0000-0000-0000480B0000}"/>
    <cellStyle name="_TG-TH_1_Qt-HT3PQ1(CauKho)" xfId="2207" xr:uid="{00000000-0005-0000-0000-0000490B0000}"/>
    <cellStyle name="_TG-TH_1_Qt-HT3PQ1(CauKho)_Song tra-750-tram nen" xfId="3290" xr:uid="{00000000-0005-0000-0000-00004A0B0000}"/>
    <cellStyle name="_TG-TH_1_Qt-HT3PQ1(CauKho)_Song tra-750-tram nen 2" xfId="3291" xr:uid="{00000000-0005-0000-0000-00004B0B0000}"/>
    <cellStyle name="_TG-TH_1_SCL 07-Phuoc Hau-unicod" xfId="2208" xr:uid="{00000000-0005-0000-0000-00004C0B0000}"/>
    <cellStyle name="_TG-TH_1_SCL tram GO DEN - GO THAO" xfId="2209" xr:uid="{00000000-0005-0000-0000-00004D0B0000}"/>
    <cellStyle name="_TG-TH_1_SO TRU TRUNG AP SCL GUI ANH PHUONG" xfId="3904" xr:uid="{00000000-0005-0000-0000-00004E0B0000}"/>
    <cellStyle name="_TG-TH_1_Song tra-750-tram nen" xfId="3292" xr:uid="{00000000-0005-0000-0000-00004F0B0000}"/>
    <cellStyle name="_TG-TH_1_Song tra-750-tram nen 2" xfId="3293" xr:uid="{00000000-0005-0000-0000-0000500B0000}"/>
    <cellStyle name="_TG-TH_1_sua chua lon Thao 1" xfId="3905" xr:uid="{00000000-0005-0000-0000-0000510B0000}"/>
    <cellStyle name="_TG-TH_1_TDC Tan My" xfId="3294" xr:uid="{00000000-0005-0000-0000-0000520B0000}"/>
    <cellStyle name="_TG-TH_1_TDC Tan My_Song tra-750-tram nen" xfId="3295" xr:uid="{00000000-0005-0000-0000-0000530B0000}"/>
    <cellStyle name="_TG-TH_1_TDC Tan My_Song tra-750-tram nen 2" xfId="3296" xr:uid="{00000000-0005-0000-0000-0000540B0000}"/>
    <cellStyle name="_TG-TH_1_TDT-MAU2" xfId="2210" xr:uid="{00000000-0005-0000-0000-0000550B0000}"/>
    <cellStyle name="_TG-TH_1_TDT-MAU2_Song tra-750-tram nen" xfId="3297" xr:uid="{00000000-0005-0000-0000-0000560B0000}"/>
    <cellStyle name="_TG-TH_1_TDT-MAU2_Song tra-750-tram nen 2" xfId="3298" xr:uid="{00000000-0005-0000-0000-0000570B0000}"/>
    <cellStyle name="_TG-TH_1_THANHLOC Khai Hung" xfId="2211" xr:uid="{00000000-0005-0000-0000-0000580B0000}"/>
    <cellStyle name="_TG-TH_1_THANHLOC Khai Hung_Book1" xfId="2212" xr:uid="{00000000-0005-0000-0000-0000590B0000}"/>
    <cellStyle name="_TG-TH_1_THANHLOC Khai Hung_Book1_Song tra-750-tram nen" xfId="3299" xr:uid="{00000000-0005-0000-0000-00005A0B0000}"/>
    <cellStyle name="_TG-TH_1_THANHLOC Khai Hung_Book1_Song tra-750-tram nen 2" xfId="3300" xr:uid="{00000000-0005-0000-0000-00005B0B0000}"/>
    <cellStyle name="_TG-TH_1_THANHLOC Khai Hung_Song tra-750-tram nen" xfId="3301" xr:uid="{00000000-0005-0000-0000-00005C0B0000}"/>
    <cellStyle name="_TG-TH_1_THANHLOC Khai Hung_Song tra-750-tram nen 2" xfId="3302" xr:uid="{00000000-0005-0000-0000-00005D0B0000}"/>
    <cellStyle name="_TG-TH_1_THANHLOC Khai Hung_trinh bao gia" xfId="2213" xr:uid="{00000000-0005-0000-0000-00005E0B0000}"/>
    <cellStyle name="_TG-TH_1_THANHLOC Khai Hung_trinh bao gia_06 Thuy san Ninh Phuoc (luu 21-06)" xfId="3303" xr:uid="{00000000-0005-0000-0000-00005F0B0000}"/>
    <cellStyle name="_TG-TH_1_THANHLOC Khai Hung_trinh bao gia_BAO TRO XH-DU TOAN" xfId="3304" xr:uid="{00000000-0005-0000-0000-0000600B0000}"/>
    <cellStyle name="_TG-TH_1_THANHLOC Khai Hung_trinh bao gia_BD" xfId="3305" xr:uid="{00000000-0005-0000-0000-0000610B0000}"/>
    <cellStyle name="_TG-TH_1_THANHLOC Khai Hung_trinh bao gia_DI DOI TRUONG LE QUY DON-HC HOAN CONG" xfId="3306" xr:uid="{00000000-0005-0000-0000-0000620B0000}"/>
    <cellStyle name="_TG-TH_1_THANHLOC Khai Hung_trinh bao gia_DUONG DOI TAN HOI-NEW 21-8-2006" xfId="3307" xr:uid="{00000000-0005-0000-0000-0000630B0000}"/>
    <cellStyle name="_TG-TH_1_THANHLOC Khai Hung_trinh bao gia_DUONG DOI THI XA-THU HOI-HC 2-3-07 xls" xfId="3308" xr:uid="{00000000-0005-0000-0000-0000640B0000}"/>
    <cellStyle name="_TG-TH_1_THANHLOC Khai Hung_trinh bao gia_DUONG DOI THI XA-THU HOI-HC 2-3-07 xls_Song tra-750-tram nen" xfId="3309" xr:uid="{00000000-0005-0000-0000-0000650B0000}"/>
    <cellStyle name="_TG-TH_1_THANHLOC Khai Hung_trinh bao gia_DUONG DOI THI XA-THU HOI-HC 2-3-07 xls_Song tra-750-tram nen 2" xfId="3310" xr:uid="{00000000-0005-0000-0000-0000660B0000}"/>
    <cellStyle name="_TG-TH_1_THANHLOC Khai Hung_trinh bao gia_Gia cuoc van chuyen" xfId="3311" xr:uid="{00000000-0005-0000-0000-0000670B0000}"/>
    <cellStyle name="_TG-TH_1_THANHLOC Khai Hung_trinh bao gia_Khu dan cu SO 2(TK BV-TC)-1" xfId="3312" xr:uid="{00000000-0005-0000-0000-0000680B0000}"/>
    <cellStyle name="_TG-TH_1_THANHLOC Khai Hung_trinh bao gia_KHU DAN CU SUOI VANG" xfId="3313" xr:uid="{00000000-0005-0000-0000-0000690B0000}"/>
    <cellStyle name="_TG-TH_1_THANHLOC Khai Hung_trinh bao gia_Khu TDC Phuoc Trung" xfId="3314" xr:uid="{00000000-0005-0000-0000-00006A0B0000}"/>
    <cellStyle name="_TG-TH_1_THANHLOC Khai Hung_trinh bao gia_Pham Van Thanh" xfId="3315" xr:uid="{00000000-0005-0000-0000-00006B0B0000}"/>
    <cellStyle name="_TG-TH_1_THANHLOC Khai Hung_trinh bao gia_Phuoc My Giai Doan 3-gia moi-14-10-uni" xfId="3316" xr:uid="{00000000-0005-0000-0000-00006C0B0000}"/>
    <cellStyle name="_TG-TH_1_THANHLOC Khai Hung_trinh bao gia_Song tra-750-tram nen" xfId="3317" xr:uid="{00000000-0005-0000-0000-00006D0B0000}"/>
    <cellStyle name="_TG-TH_1_THANHLOC Khai Hung_trinh bao gia_Song tra-750-tram nen 2" xfId="3318" xr:uid="{00000000-0005-0000-0000-00006E0B0000}"/>
    <cellStyle name="_TG-TH_1_THANHLOC Khai Hung_trinh bao gia_Thuan Bac-sua lai" xfId="3319" xr:uid="{00000000-0005-0000-0000-00006F0B0000}"/>
    <cellStyle name="_TG-TH_1_THANHLOC Khai Hung_trinh bao gia_VKim" xfId="3320" xr:uid="{00000000-0005-0000-0000-0000700B0000}"/>
    <cellStyle name="_TG-TH_1_THG" xfId="2214" xr:uid="{00000000-0005-0000-0000-0000710B0000}"/>
    <cellStyle name="_TG-TH_1_THG_Song tra-750-tram nen" xfId="3321" xr:uid="{00000000-0005-0000-0000-0000720B0000}"/>
    <cellStyle name="_TG-TH_1_THG_Song tra-750-tram nen 2" xfId="3322" xr:uid="{00000000-0005-0000-0000-0000730B0000}"/>
    <cellStyle name="_TG-TH_1_TONG KE GO DEN-GO THAO" xfId="2215" xr:uid="{00000000-0005-0000-0000-0000740B0000}"/>
    <cellStyle name="_TG-TH_1_Tong ke SCL bo sung 2007" xfId="2216" xr:uid="{00000000-0005-0000-0000-0000750B0000}"/>
    <cellStyle name="_TG-TH_1_Tong ke sua chua DZ dke (xoa tong gd 2)-NLam 2 -Vtu" xfId="2217" xr:uid="{00000000-0005-0000-0000-0000760B0000}"/>
    <cellStyle name="_TG-TH_1_Tong ke sua chua DZ dke (xoa tong gd 2)-NLam-Vtu" xfId="2218" xr:uid="{00000000-0005-0000-0000-0000770B0000}"/>
    <cellStyle name="_TG-TH_1_Tong ke sua chua DZ dke (xoa tong gd 2)-VLam 1" xfId="2219" xr:uid="{00000000-0005-0000-0000-0000780B0000}"/>
    <cellStyle name="_TG-TH_1_Tong ke sua chua DZ dke (xoa tong gd 2)-VLam 2" xfId="2220" xr:uid="{00000000-0005-0000-0000-0000790B0000}"/>
    <cellStyle name="_TG-TH_1_trinh bao gia" xfId="2221" xr:uid="{00000000-0005-0000-0000-00007A0B0000}"/>
    <cellStyle name="_TG-TH_1_trinh bao gia_06 Thuy san Ninh Phuoc (luu 21-06)" xfId="3323" xr:uid="{00000000-0005-0000-0000-00007B0B0000}"/>
    <cellStyle name="_TG-TH_1_trinh bao gia_BAO TRO XH-DU TOAN" xfId="3324" xr:uid="{00000000-0005-0000-0000-00007C0B0000}"/>
    <cellStyle name="_TG-TH_1_trinh bao gia_BD" xfId="3325" xr:uid="{00000000-0005-0000-0000-00007D0B0000}"/>
    <cellStyle name="_TG-TH_1_trinh bao gia_DI DOI TRUONG LE QUY DON-HC HOAN CONG" xfId="3326" xr:uid="{00000000-0005-0000-0000-00007E0B0000}"/>
    <cellStyle name="_TG-TH_1_trinh bao gia_DUONG DOI TAN HOI-NEW 21-8-2006" xfId="3327" xr:uid="{00000000-0005-0000-0000-00007F0B0000}"/>
    <cellStyle name="_TG-TH_1_trinh bao gia_DUONG DOI THI XA-THU HOI-HC 2-3-07 xls" xfId="3328" xr:uid="{00000000-0005-0000-0000-0000800B0000}"/>
    <cellStyle name="_TG-TH_1_trinh bao gia_DUONG DOI THI XA-THU HOI-HC 2-3-07 xls_Song tra-750-tram nen" xfId="3329" xr:uid="{00000000-0005-0000-0000-0000810B0000}"/>
    <cellStyle name="_TG-TH_1_trinh bao gia_DUONG DOI THI XA-THU HOI-HC 2-3-07 xls_Song tra-750-tram nen 2" xfId="3330" xr:uid="{00000000-0005-0000-0000-0000820B0000}"/>
    <cellStyle name="_TG-TH_1_trinh bao gia_Gia cuoc van chuyen" xfId="3331" xr:uid="{00000000-0005-0000-0000-0000830B0000}"/>
    <cellStyle name="_TG-TH_1_trinh bao gia_Khu dan cu SO 2(TK BV-TC)-1" xfId="3332" xr:uid="{00000000-0005-0000-0000-0000840B0000}"/>
    <cellStyle name="_TG-TH_1_trinh bao gia_KHU DAN CU SUOI VANG" xfId="3333" xr:uid="{00000000-0005-0000-0000-0000850B0000}"/>
    <cellStyle name="_TG-TH_1_trinh bao gia_Khu TDC Phuoc Trung" xfId="3334" xr:uid="{00000000-0005-0000-0000-0000860B0000}"/>
    <cellStyle name="_TG-TH_1_trinh bao gia_Pham Van Thanh" xfId="3335" xr:uid="{00000000-0005-0000-0000-0000870B0000}"/>
    <cellStyle name="_TG-TH_1_trinh bao gia_Phuoc My Giai Doan 3-gia moi-14-10-uni" xfId="3336" xr:uid="{00000000-0005-0000-0000-0000880B0000}"/>
    <cellStyle name="_TG-TH_1_trinh bao gia_Song tra-750-tram nen" xfId="3337" xr:uid="{00000000-0005-0000-0000-0000890B0000}"/>
    <cellStyle name="_TG-TH_1_trinh bao gia_Song tra-750-tram nen 2" xfId="3338" xr:uid="{00000000-0005-0000-0000-00008A0B0000}"/>
    <cellStyle name="_TG-TH_1_trinh bao gia_Thuan Bac-sua lai" xfId="3339" xr:uid="{00000000-0005-0000-0000-00008B0B0000}"/>
    <cellStyle name="_TG-TH_1_trinh bao gia_VKim" xfId="3340" xr:uid="{00000000-0005-0000-0000-00008C0B0000}"/>
    <cellStyle name="_TG-TH_1_Truong day nghe (20.1.06)" xfId="3341" xr:uid="{00000000-0005-0000-0000-00008D0B0000}"/>
    <cellStyle name="_TG-TH_1_Truong day nghe (20.1.06) 2" xfId="3342" xr:uid="{00000000-0005-0000-0000-00008E0B0000}"/>
    <cellStyle name="_TG-TH_2" xfId="2222" xr:uid="{00000000-0005-0000-0000-00008F0B0000}"/>
    <cellStyle name="_TG-TH_2_06 Muoi Tri Hai" xfId="2223" xr:uid="{00000000-0005-0000-0000-0000900B0000}"/>
    <cellStyle name="_TG-TH_2_06-scl-PHUOC HAI.HIEU CHINH-lan 2-09-12-05xls" xfId="2224" xr:uid="{00000000-0005-0000-0000-0000910B0000}"/>
    <cellStyle name="_TG-TH_2_07-PHUOC HA.XLS-1" xfId="3343" xr:uid="{00000000-0005-0000-0000-0000920B0000}"/>
    <cellStyle name="_TG-TH_2_07-PHUOC HA.XLS-1_Song tra-750-tram nen" xfId="3344" xr:uid="{00000000-0005-0000-0000-0000930B0000}"/>
    <cellStyle name="_TG-TH_2_07-PHUOC HA.XLS-1_Song tra-750-tram nen 2" xfId="3345" xr:uid="{00000000-0005-0000-0000-0000940B0000}"/>
    <cellStyle name="_TG-TH_2_07-scl ninh hai 31-05" xfId="3906" xr:uid="{00000000-0005-0000-0000-0000950B0000}"/>
    <cellStyle name="_TG-TH_2_BANG SO SANH NHAN CONG SC MBA DUYET" xfId="2225" xr:uid="{00000000-0005-0000-0000-0000960B0000}"/>
    <cellStyle name="_TG-TH_2_BAO CAO KLCT PT2000" xfId="2226" xr:uid="{00000000-0005-0000-0000-0000970B0000}"/>
    <cellStyle name="_TG-TH_2_BAO CAO KLCT PT2000_Song tra-750-tram nen" xfId="3346" xr:uid="{00000000-0005-0000-0000-0000980B0000}"/>
    <cellStyle name="_TG-TH_2_BAO CAO KLCT PT2000_Song tra-750-tram nen 2" xfId="3347" xr:uid="{00000000-0005-0000-0000-0000990B0000}"/>
    <cellStyle name="_TG-TH_2_BAO CAO PT2000" xfId="2227" xr:uid="{00000000-0005-0000-0000-00009A0B0000}"/>
    <cellStyle name="_TG-TH_2_BAO CAO PT2000_Book1" xfId="2228" xr:uid="{00000000-0005-0000-0000-00009B0B0000}"/>
    <cellStyle name="_TG-TH_2_BAO CAO PT2000_Book1_Song tra-750-tram nen" xfId="3348" xr:uid="{00000000-0005-0000-0000-00009C0B0000}"/>
    <cellStyle name="_TG-TH_2_BAO CAO PT2000_Book1_Song tra-750-tram nen 2" xfId="3349" xr:uid="{00000000-0005-0000-0000-00009D0B0000}"/>
    <cellStyle name="_TG-TH_2_BAO CAO PT2000_DT Ngoc Ha" xfId="3350" xr:uid="{00000000-0005-0000-0000-00009E0B0000}"/>
    <cellStyle name="_TG-TH_2_BAO CAO PT2000_DT Ngoc Ha_Song tra-750-tram nen" xfId="3351" xr:uid="{00000000-0005-0000-0000-00009F0B0000}"/>
    <cellStyle name="_TG-TH_2_BAO CAO PT2000_DT Ngoc Ha_Song tra-750-tram nen 2" xfId="3352" xr:uid="{00000000-0005-0000-0000-0000A00B0000}"/>
    <cellStyle name="_TG-TH_2_BAO CAO PT2000_MUOI TINH PHUOC MINH" xfId="3353" xr:uid="{00000000-0005-0000-0000-0000A10B0000}"/>
    <cellStyle name="_TG-TH_2_BAO CAO PT2000_MUOI TINH PHUOC MINH_Song tra-750-tram nen" xfId="3354" xr:uid="{00000000-0005-0000-0000-0000A20B0000}"/>
    <cellStyle name="_TG-TH_2_BAO CAO PT2000_MUOI TINH PHUOC MINH_Song tra-750-tram nen 2" xfId="3355" xr:uid="{00000000-0005-0000-0000-0000A30B0000}"/>
    <cellStyle name="_TG-TH_2_BAO CAO PT2000_Song tra-750-tram nen" xfId="3356" xr:uid="{00000000-0005-0000-0000-0000A40B0000}"/>
    <cellStyle name="_TG-TH_2_BAO CAO PT2000_Song tra-750-tram nen 2" xfId="3357" xr:uid="{00000000-0005-0000-0000-0000A50B0000}"/>
    <cellStyle name="_TG-TH_2_BAO CAO PT2000_TDC Tan My" xfId="3358" xr:uid="{00000000-0005-0000-0000-0000A60B0000}"/>
    <cellStyle name="_TG-TH_2_BAO CAO PT2000_TDC Tan My_Song tra-750-tram nen" xfId="3359" xr:uid="{00000000-0005-0000-0000-0000A70B0000}"/>
    <cellStyle name="_TG-TH_2_BAO CAO PT2000_TDC Tan My_Song tra-750-tram nen 2" xfId="3360" xr:uid="{00000000-0005-0000-0000-0000A80B0000}"/>
    <cellStyle name="_TG-TH_2_BAO CAO PT2000_trinh bao gia" xfId="2229" xr:uid="{00000000-0005-0000-0000-0000A90B0000}"/>
    <cellStyle name="_TG-TH_2_BAO CAO PT2000_trinh bao gia_06 Thuy san Ninh Phuoc (luu 21-06)" xfId="3361" xr:uid="{00000000-0005-0000-0000-0000AA0B0000}"/>
    <cellStyle name="_TG-TH_2_BAO CAO PT2000_trinh bao gia_BAO TRO XH-DU TOAN" xfId="3362" xr:uid="{00000000-0005-0000-0000-0000AB0B0000}"/>
    <cellStyle name="_TG-TH_2_BAO CAO PT2000_trinh bao gia_BD" xfId="3363" xr:uid="{00000000-0005-0000-0000-0000AC0B0000}"/>
    <cellStyle name="_TG-TH_2_BAO CAO PT2000_trinh bao gia_DI DOI TRUONG LE QUY DON-HC HOAN CONG" xfId="3364" xr:uid="{00000000-0005-0000-0000-0000AD0B0000}"/>
    <cellStyle name="_TG-TH_2_BAO CAO PT2000_trinh bao gia_DUONG DOI TAN HOI-NEW 21-8-2006" xfId="3365" xr:uid="{00000000-0005-0000-0000-0000AE0B0000}"/>
    <cellStyle name="_TG-TH_2_BAO CAO PT2000_trinh bao gia_DUONG DOI THI XA-THU HOI-HC 2-3-07 xls" xfId="3366" xr:uid="{00000000-0005-0000-0000-0000AF0B0000}"/>
    <cellStyle name="_TG-TH_2_BAO CAO PT2000_trinh bao gia_DUONG DOI THI XA-THU HOI-HC 2-3-07 xls_Song tra-750-tram nen" xfId="3367" xr:uid="{00000000-0005-0000-0000-0000B00B0000}"/>
    <cellStyle name="_TG-TH_2_BAO CAO PT2000_trinh bao gia_DUONG DOI THI XA-THU HOI-HC 2-3-07 xls_Song tra-750-tram nen 2" xfId="3368" xr:uid="{00000000-0005-0000-0000-0000B10B0000}"/>
    <cellStyle name="_TG-TH_2_BAO CAO PT2000_trinh bao gia_Gia cuoc van chuyen" xfId="3369" xr:uid="{00000000-0005-0000-0000-0000B20B0000}"/>
    <cellStyle name="_TG-TH_2_BAO CAO PT2000_trinh bao gia_Khu dan cu SO 2(TK BV-TC)-1" xfId="3370" xr:uid="{00000000-0005-0000-0000-0000B30B0000}"/>
    <cellStyle name="_TG-TH_2_BAO CAO PT2000_trinh bao gia_KHU DAN CU SUOI VANG" xfId="3371" xr:uid="{00000000-0005-0000-0000-0000B40B0000}"/>
    <cellStyle name="_TG-TH_2_BAO CAO PT2000_trinh bao gia_Khu TDC Phuoc Trung" xfId="3372" xr:uid="{00000000-0005-0000-0000-0000B50B0000}"/>
    <cellStyle name="_TG-TH_2_BAO CAO PT2000_trinh bao gia_Pham Van Thanh" xfId="3373" xr:uid="{00000000-0005-0000-0000-0000B60B0000}"/>
    <cellStyle name="_TG-TH_2_BAO CAO PT2000_trinh bao gia_Phuoc My Giai Doan 3-gia moi-14-10-uni" xfId="3374" xr:uid="{00000000-0005-0000-0000-0000B70B0000}"/>
    <cellStyle name="_TG-TH_2_BAO CAO PT2000_trinh bao gia_Song tra-750-tram nen" xfId="3375" xr:uid="{00000000-0005-0000-0000-0000B80B0000}"/>
    <cellStyle name="_TG-TH_2_BAO CAO PT2000_trinh bao gia_Song tra-750-tram nen 2" xfId="3376" xr:uid="{00000000-0005-0000-0000-0000B90B0000}"/>
    <cellStyle name="_TG-TH_2_BAO CAO PT2000_trinh bao gia_Thuan Bac-sua lai" xfId="3377" xr:uid="{00000000-0005-0000-0000-0000BA0B0000}"/>
    <cellStyle name="_TG-TH_2_BAO CAO PT2000_trinh bao gia_VKim" xfId="3378" xr:uid="{00000000-0005-0000-0000-0000BB0B0000}"/>
    <cellStyle name="_TG-TH_2_BAO CAO PT2000_Truong day nghe (20.1.06)" xfId="3379" xr:uid="{00000000-0005-0000-0000-0000BC0B0000}"/>
    <cellStyle name="_TG-TH_2_BAO CAO PT2000_Truong day nghe (20.1.06) 2" xfId="3380" xr:uid="{00000000-0005-0000-0000-0000BD0B0000}"/>
    <cellStyle name="_TG-TH_2_Bao cao XDCB 2001 - T11 KH dieu chinh 20-11-THAI" xfId="2230" xr:uid="{00000000-0005-0000-0000-0000BE0B0000}"/>
    <cellStyle name="_TG-TH_2_Bao cao XDCB 2001 - T11 KH dieu chinh 20-11-THAI_Book1" xfId="2231" xr:uid="{00000000-0005-0000-0000-0000BF0B0000}"/>
    <cellStyle name="_TG-TH_2_Bao cao XDCB 2001 - T11 KH dieu chinh 20-11-THAI_Book1_Song tra-750-tram nen" xfId="3381" xr:uid="{00000000-0005-0000-0000-0000C00B0000}"/>
    <cellStyle name="_TG-TH_2_Bao cao XDCB 2001 - T11 KH dieu chinh 20-11-THAI_Book1_Song tra-750-tram nen 2" xfId="3382" xr:uid="{00000000-0005-0000-0000-0000C10B0000}"/>
    <cellStyle name="_TG-TH_2_Bao cao XDCB 2001 - T11 KH dieu chinh 20-11-THAI_DT Ngoc Ha" xfId="3383" xr:uid="{00000000-0005-0000-0000-0000C20B0000}"/>
    <cellStyle name="_TG-TH_2_Bao cao XDCB 2001 - T11 KH dieu chinh 20-11-THAI_DT Ngoc Ha_Song tra-750-tram nen" xfId="3384" xr:uid="{00000000-0005-0000-0000-0000C30B0000}"/>
    <cellStyle name="_TG-TH_2_Bao cao XDCB 2001 - T11 KH dieu chinh 20-11-THAI_DT Ngoc Ha_Song tra-750-tram nen 2" xfId="3385" xr:uid="{00000000-0005-0000-0000-0000C40B0000}"/>
    <cellStyle name="_TG-TH_2_Bao cao XDCB 2001 - T11 KH dieu chinh 20-11-THAI_MUOI TINH PHUOC MINH" xfId="3386" xr:uid="{00000000-0005-0000-0000-0000C50B0000}"/>
    <cellStyle name="_TG-TH_2_Bao cao XDCB 2001 - T11 KH dieu chinh 20-11-THAI_MUOI TINH PHUOC MINH_Song tra-750-tram nen" xfId="3387" xr:uid="{00000000-0005-0000-0000-0000C60B0000}"/>
    <cellStyle name="_TG-TH_2_Bao cao XDCB 2001 - T11 KH dieu chinh 20-11-THAI_MUOI TINH PHUOC MINH_Song tra-750-tram nen 2" xfId="3388" xr:uid="{00000000-0005-0000-0000-0000C70B0000}"/>
    <cellStyle name="_TG-TH_2_Bao cao XDCB 2001 - T11 KH dieu chinh 20-11-THAI_Song tra-750-tram nen" xfId="3389" xr:uid="{00000000-0005-0000-0000-0000C80B0000}"/>
    <cellStyle name="_TG-TH_2_Bao cao XDCB 2001 - T11 KH dieu chinh 20-11-THAI_Song tra-750-tram nen 2" xfId="3390" xr:uid="{00000000-0005-0000-0000-0000C90B0000}"/>
    <cellStyle name="_TG-TH_2_Bao cao XDCB 2001 - T11 KH dieu chinh 20-11-THAI_TDC Tan My" xfId="3391" xr:uid="{00000000-0005-0000-0000-0000CA0B0000}"/>
    <cellStyle name="_TG-TH_2_Bao cao XDCB 2001 - T11 KH dieu chinh 20-11-THAI_TDC Tan My_Song tra-750-tram nen" xfId="3392" xr:uid="{00000000-0005-0000-0000-0000CB0B0000}"/>
    <cellStyle name="_TG-TH_2_Bao cao XDCB 2001 - T11 KH dieu chinh 20-11-THAI_TDC Tan My_Song tra-750-tram nen 2" xfId="3393" xr:uid="{00000000-0005-0000-0000-0000CC0B0000}"/>
    <cellStyle name="_TG-TH_2_Bao cao XDCB 2001 - T11 KH dieu chinh 20-11-THAI_trinh bao gia" xfId="2232" xr:uid="{00000000-0005-0000-0000-0000CD0B0000}"/>
    <cellStyle name="_TG-TH_2_Bao cao XDCB 2001 - T11 KH dieu chinh 20-11-THAI_trinh bao gia_06 Thuy san Ninh Phuoc (luu 21-06)" xfId="3394" xr:uid="{00000000-0005-0000-0000-0000CE0B0000}"/>
    <cellStyle name="_TG-TH_2_Bao cao XDCB 2001 - T11 KH dieu chinh 20-11-THAI_trinh bao gia_BAO TRO XH-DU TOAN" xfId="3395" xr:uid="{00000000-0005-0000-0000-0000CF0B0000}"/>
    <cellStyle name="_TG-TH_2_Bao cao XDCB 2001 - T11 KH dieu chinh 20-11-THAI_trinh bao gia_BD" xfId="3396" xr:uid="{00000000-0005-0000-0000-0000D00B0000}"/>
    <cellStyle name="_TG-TH_2_Bao cao XDCB 2001 - T11 KH dieu chinh 20-11-THAI_trinh bao gia_DI DOI TRUONG LE QUY DON-HC HOAN CONG" xfId="3397" xr:uid="{00000000-0005-0000-0000-0000D10B0000}"/>
    <cellStyle name="_TG-TH_2_Bao cao XDCB 2001 - T11 KH dieu chinh 20-11-THAI_trinh bao gia_DUONG DOI TAN HOI-NEW 21-8-2006" xfId="3398" xr:uid="{00000000-0005-0000-0000-0000D20B0000}"/>
    <cellStyle name="_TG-TH_2_Bao cao XDCB 2001 - T11 KH dieu chinh 20-11-THAI_trinh bao gia_DUONG DOI THI XA-THU HOI-HC 2-3-07 xls" xfId="3399" xr:uid="{00000000-0005-0000-0000-0000D30B0000}"/>
    <cellStyle name="_TG-TH_2_Bao cao XDCB 2001 - T11 KH dieu chinh 20-11-THAI_trinh bao gia_DUONG DOI THI XA-THU HOI-HC 2-3-07 xls_Song tra-750-tram nen" xfId="3400" xr:uid="{00000000-0005-0000-0000-0000D40B0000}"/>
    <cellStyle name="_TG-TH_2_Bao cao XDCB 2001 - T11 KH dieu chinh 20-11-THAI_trinh bao gia_DUONG DOI THI XA-THU HOI-HC 2-3-07 xls_Song tra-750-tram nen 2" xfId="3401" xr:uid="{00000000-0005-0000-0000-0000D50B0000}"/>
    <cellStyle name="_TG-TH_2_Bao cao XDCB 2001 - T11 KH dieu chinh 20-11-THAI_trinh bao gia_Gia cuoc van chuyen" xfId="3402" xr:uid="{00000000-0005-0000-0000-0000D60B0000}"/>
    <cellStyle name="_TG-TH_2_Bao cao XDCB 2001 - T11 KH dieu chinh 20-11-THAI_trinh bao gia_Khu dan cu SO 2(TK BV-TC)-1" xfId="3403" xr:uid="{00000000-0005-0000-0000-0000D70B0000}"/>
    <cellStyle name="_TG-TH_2_Bao cao XDCB 2001 - T11 KH dieu chinh 20-11-THAI_trinh bao gia_KHU DAN CU SUOI VANG" xfId="3404" xr:uid="{00000000-0005-0000-0000-0000D80B0000}"/>
    <cellStyle name="_TG-TH_2_Bao cao XDCB 2001 - T11 KH dieu chinh 20-11-THAI_trinh bao gia_Khu TDC Phuoc Trung" xfId="3405" xr:uid="{00000000-0005-0000-0000-0000D90B0000}"/>
    <cellStyle name="_TG-TH_2_Bao cao XDCB 2001 - T11 KH dieu chinh 20-11-THAI_trinh bao gia_Pham Van Thanh" xfId="3406" xr:uid="{00000000-0005-0000-0000-0000DA0B0000}"/>
    <cellStyle name="_TG-TH_2_Bao cao XDCB 2001 - T11 KH dieu chinh 20-11-THAI_trinh bao gia_Phuoc My Giai Doan 3-gia moi-14-10-uni" xfId="3407" xr:uid="{00000000-0005-0000-0000-0000DB0B0000}"/>
    <cellStyle name="_TG-TH_2_Bao cao XDCB 2001 - T11 KH dieu chinh 20-11-THAI_trinh bao gia_Song tra-750-tram nen" xfId="3408" xr:uid="{00000000-0005-0000-0000-0000DC0B0000}"/>
    <cellStyle name="_TG-TH_2_Bao cao XDCB 2001 - T11 KH dieu chinh 20-11-THAI_trinh bao gia_Song tra-750-tram nen 2" xfId="3409" xr:uid="{00000000-0005-0000-0000-0000DD0B0000}"/>
    <cellStyle name="_TG-TH_2_Bao cao XDCB 2001 - T11 KH dieu chinh 20-11-THAI_trinh bao gia_Thuan Bac-sua lai" xfId="3410" xr:uid="{00000000-0005-0000-0000-0000DE0B0000}"/>
    <cellStyle name="_TG-TH_2_Bao cao XDCB 2001 - T11 KH dieu chinh 20-11-THAI_trinh bao gia_VKim" xfId="3411" xr:uid="{00000000-0005-0000-0000-0000DF0B0000}"/>
    <cellStyle name="_TG-TH_2_Bao cao XDCB 2001 - T11 KH dieu chinh 20-11-THAI_Truong day nghe (20.1.06)" xfId="3412" xr:uid="{00000000-0005-0000-0000-0000E00B0000}"/>
    <cellStyle name="_TG-TH_2_Bao cao XDCB 2001 - T11 KH dieu chinh 20-11-THAI_Truong day nghe (20.1.06) 2" xfId="3413" xr:uid="{00000000-0005-0000-0000-0000E10B0000}"/>
    <cellStyle name="_TG-TH_2_Book1" xfId="2233" xr:uid="{00000000-0005-0000-0000-0000E20B0000}"/>
    <cellStyle name="_TG-TH_2_Book1_06 Muoi Tri Hai" xfId="2234" xr:uid="{00000000-0005-0000-0000-0000E30B0000}"/>
    <cellStyle name="_TG-TH_2_Book1_07-PHUOC HA.XLS-1" xfId="3414" xr:uid="{00000000-0005-0000-0000-0000E40B0000}"/>
    <cellStyle name="_TG-TH_2_Book1_07-PHUOC HA.XLS-1_Song tra-750-tram nen" xfId="3415" xr:uid="{00000000-0005-0000-0000-0000E50B0000}"/>
    <cellStyle name="_TG-TH_2_Book1_07-PHUOC HA.XLS-1_Song tra-750-tram nen 2" xfId="3416" xr:uid="{00000000-0005-0000-0000-0000E60B0000}"/>
    <cellStyle name="_TG-TH_2_Book1_1" xfId="2235" xr:uid="{00000000-0005-0000-0000-0000E70B0000}"/>
    <cellStyle name="_TG-TH_2_Book1_1_Song tra-750-tram nen" xfId="3417" xr:uid="{00000000-0005-0000-0000-0000E80B0000}"/>
    <cellStyle name="_TG-TH_2_Book1_1_Song tra-750-tram nen 2" xfId="3418" xr:uid="{00000000-0005-0000-0000-0000E90B0000}"/>
    <cellStyle name="_TG-TH_2_Book1_2" xfId="2236" xr:uid="{00000000-0005-0000-0000-0000EA0B0000}"/>
    <cellStyle name="_TG-TH_2_Book1_2_Song tra-750-tram nen" xfId="3419" xr:uid="{00000000-0005-0000-0000-0000EB0B0000}"/>
    <cellStyle name="_TG-TH_2_Book1_2_Song tra-750-tram nen 2" xfId="3420" xr:uid="{00000000-0005-0000-0000-0000EC0B0000}"/>
    <cellStyle name="_TG-TH_2_Book1_2_trinh bao gia" xfId="2237" xr:uid="{00000000-0005-0000-0000-0000ED0B0000}"/>
    <cellStyle name="_TG-TH_2_Book1_2_trinh bao gia_Song tra-750-tram nen" xfId="3421" xr:uid="{00000000-0005-0000-0000-0000EE0B0000}"/>
    <cellStyle name="_TG-TH_2_Book1_2_trinh bao gia_Song tra-750-tram nen 2" xfId="3422" xr:uid="{00000000-0005-0000-0000-0000EF0B0000}"/>
    <cellStyle name="_TG-TH_2_Book1_3" xfId="2238" xr:uid="{00000000-0005-0000-0000-0000F00B0000}"/>
    <cellStyle name="_TG-TH_2_Book1_3_DT Ngoc Ha" xfId="3423" xr:uid="{00000000-0005-0000-0000-0000F10B0000}"/>
    <cellStyle name="_TG-TH_2_Book1_3_DT Ngoc Ha_Song tra-750-tram nen" xfId="3424" xr:uid="{00000000-0005-0000-0000-0000F20B0000}"/>
    <cellStyle name="_TG-TH_2_Book1_3_DT Ngoc Ha_Song tra-750-tram nen 2" xfId="3425" xr:uid="{00000000-0005-0000-0000-0000F30B0000}"/>
    <cellStyle name="_TG-TH_2_Book1_3_Song tra-750-tram nen" xfId="3426" xr:uid="{00000000-0005-0000-0000-0000F40B0000}"/>
    <cellStyle name="_TG-TH_2_Book1_3_trinh bao gia" xfId="2239" xr:uid="{00000000-0005-0000-0000-0000F50B0000}"/>
    <cellStyle name="_TG-TH_2_Book1_3_trinh bao gia_Song tra-750-tram nen" xfId="3427" xr:uid="{00000000-0005-0000-0000-0000F60B0000}"/>
    <cellStyle name="_TG-TH_2_Book1_4" xfId="2240" xr:uid="{00000000-0005-0000-0000-0000F70B0000}"/>
    <cellStyle name="_TG-TH_2_Book1_Book1" xfId="2241" xr:uid="{00000000-0005-0000-0000-0000F80B0000}"/>
    <cellStyle name="_TG-TH_2_Book1_Book1_Song tra-750-tram nen" xfId="3428" xr:uid="{00000000-0005-0000-0000-0000F90B0000}"/>
    <cellStyle name="_TG-TH_2_Book1_Book1_Song tra-750-tram nen 2" xfId="3429" xr:uid="{00000000-0005-0000-0000-0000FA0B0000}"/>
    <cellStyle name="_TG-TH_2_Book1_DT Ngoc Ha" xfId="3430" xr:uid="{00000000-0005-0000-0000-0000FB0B0000}"/>
    <cellStyle name="_TG-TH_2_Book1_DT Ngoc Ha_Song tra-750-tram nen" xfId="3431" xr:uid="{00000000-0005-0000-0000-0000FC0B0000}"/>
    <cellStyle name="_TG-TH_2_Book1_DT Ngoc Ha_Song tra-750-tram nen 2" xfId="3432" xr:uid="{00000000-0005-0000-0000-0000FD0B0000}"/>
    <cellStyle name="_TG-TH_2_Book1_Dutoan NC 22 khu vuc san bay  09-2006moi" xfId="3907" xr:uid="{00000000-0005-0000-0000-0000FE0B0000}"/>
    <cellStyle name="_TG-TH_2_Book1_KH2-06 PT LHT Binh Thanh 2003" xfId="2242" xr:uid="{00000000-0005-0000-0000-0000FF0B0000}"/>
    <cellStyle name="_TG-TH_2_Book1_KH2-06 PT LHT Binh Thanh 2003_Song tra-750-tram nen" xfId="3433" xr:uid="{00000000-0005-0000-0000-0000000C0000}"/>
    <cellStyle name="_TG-TH_2_Book1_KH2-06 PT LHT Binh Thanh 2003_Song tra-750-tram nen 2" xfId="3434" xr:uid="{00000000-0005-0000-0000-0000010C0000}"/>
    <cellStyle name="_TG-TH_2_Book1_MUOI TINH PHUOC MINH" xfId="3435" xr:uid="{00000000-0005-0000-0000-0000020C0000}"/>
    <cellStyle name="_TG-TH_2_Book1_MUOI TINH PHUOC MINH_Song tra-750-tram nen" xfId="3436" xr:uid="{00000000-0005-0000-0000-0000030C0000}"/>
    <cellStyle name="_TG-TH_2_Book1_MUOI TINH PHUOC MINH_Song tra-750-tram nen 2" xfId="3437" xr:uid="{00000000-0005-0000-0000-0000040C0000}"/>
    <cellStyle name="_TG-TH_2_Book1_Song tra-750-tram nen" xfId="3438" xr:uid="{00000000-0005-0000-0000-0000050C0000}"/>
    <cellStyle name="_TG-TH_2_Book1_Song tra-750-tram nen 2" xfId="3439" xr:uid="{00000000-0005-0000-0000-0000060C0000}"/>
    <cellStyle name="_TG-TH_2_Book1_TDC Tan My" xfId="3440" xr:uid="{00000000-0005-0000-0000-0000070C0000}"/>
    <cellStyle name="_TG-TH_2_Book1_TDC Tan My_Song tra-750-tram nen" xfId="3441" xr:uid="{00000000-0005-0000-0000-0000080C0000}"/>
    <cellStyle name="_TG-TH_2_Book1_TDC Tan My_Song tra-750-tram nen 2" xfId="3442" xr:uid="{00000000-0005-0000-0000-0000090C0000}"/>
    <cellStyle name="_TG-TH_2_Book1_THANHLOC Khai Hung" xfId="2243" xr:uid="{00000000-0005-0000-0000-00000A0C0000}"/>
    <cellStyle name="_TG-TH_2_Book1_THANHLOC Khai Hung_Song tra-750-tram nen" xfId="3443" xr:uid="{00000000-0005-0000-0000-00000B0C0000}"/>
    <cellStyle name="_TG-TH_2_Book1_THANHLOC Khai Hung_Song tra-750-tram nen 2" xfId="3444" xr:uid="{00000000-0005-0000-0000-00000C0C0000}"/>
    <cellStyle name="_TG-TH_2_Book1_Truong day nghe (20.1.06)" xfId="3445" xr:uid="{00000000-0005-0000-0000-00000D0C0000}"/>
    <cellStyle name="_TG-TH_2_Book1_Truong day nghe (20.1.06) 2" xfId="3446" xr:uid="{00000000-0005-0000-0000-00000E0C0000}"/>
    <cellStyle name="_TG-TH_2_DAU NOI PL-CL TAI PHU LAMHC" xfId="2244" xr:uid="{00000000-0005-0000-0000-00000F0C0000}"/>
    <cellStyle name="_TG-TH_2_DAU NOI PL-CL TAI PHU LAMHC_Song tra-750-tram nen" xfId="3447" xr:uid="{00000000-0005-0000-0000-0000100C0000}"/>
    <cellStyle name="_TG-TH_2_DAU NOI PL-CL TAI PHU LAMHC_Song tra-750-tram nen 2" xfId="3448" xr:uid="{00000000-0005-0000-0000-0000110C0000}"/>
    <cellStyle name="_TG-TH_2_Dien Ke thon Phuoc Nhon 2" xfId="2245" xr:uid="{00000000-0005-0000-0000-0000120C0000}"/>
    <cellStyle name="_TG-TH_2_DT Ngoc Ha" xfId="3449" xr:uid="{00000000-0005-0000-0000-0000130C0000}"/>
    <cellStyle name="_TG-TH_2_DT Ngoc Ha_Song tra-750-tram nen" xfId="3450" xr:uid="{00000000-0005-0000-0000-0000140C0000}"/>
    <cellStyle name="_TG-TH_2_DT Ngoc Ha_Song tra-750-tram nen 2" xfId="3451" xr:uid="{00000000-0005-0000-0000-0000150C0000}"/>
    <cellStyle name="_TG-TH_2_DTCDT MR.2N110.HOCMON.TDTOAN.CCUNG" xfId="3452" xr:uid="{00000000-0005-0000-0000-0000160C0000}"/>
    <cellStyle name="_TG-TH_2_DTCDT MR.2N110.HOCMON.TDTOAN.CCUNG_Song tra-750-tram nen" xfId="3453" xr:uid="{00000000-0005-0000-0000-0000170C0000}"/>
    <cellStyle name="_TG-TH_2_DTCDT MR.2N110.HOCMON.TDTOAN.CCUNG_Song tra-750-tram nen 2" xfId="3454" xr:uid="{00000000-0005-0000-0000-0000180C0000}"/>
    <cellStyle name="_TG-TH_2_Du toan thay ong ep va da composite sua" xfId="3908" xr:uid="{00000000-0005-0000-0000-0000190C0000}"/>
    <cellStyle name="_TG-TH_2_Du toan tram GDEN2 giai doan 2" xfId="2246" xr:uid="{00000000-0005-0000-0000-00001A0C0000}"/>
    <cellStyle name="_TG-TH_2_Du toan tram PHUOC NHON 2 giai doan 2" xfId="2247" xr:uid="{00000000-0005-0000-0000-00001B0C0000}"/>
    <cellStyle name="_TG-TH_2_Dutoan NC 22 khu vuc san bay  09-2006moi" xfId="3909" xr:uid="{00000000-0005-0000-0000-00001C0C0000}"/>
    <cellStyle name="_TG-TH_2_DUTOAN_DAMDOI_PD1" xfId="2248" xr:uid="{00000000-0005-0000-0000-00001D0C0000}"/>
    <cellStyle name="_TG-TH_2_DUTOAN_DAMDOI_PD1_Song tra-750-tram nen" xfId="3455" xr:uid="{00000000-0005-0000-0000-00001E0C0000}"/>
    <cellStyle name="_TG-TH_2_DUTOAN_DAMDOI_PD1_Song tra-750-tram nen 2" xfId="3456" xr:uid="{00000000-0005-0000-0000-00001F0C0000}"/>
    <cellStyle name="_TG-TH_2_KH2-06 PT LHT Binh Thanh 2003" xfId="2249" xr:uid="{00000000-0005-0000-0000-0000200C0000}"/>
    <cellStyle name="_TG-TH_2_KH2-06 PT LHT Binh Thanh 2003_Book1" xfId="2250" xr:uid="{00000000-0005-0000-0000-0000210C0000}"/>
    <cellStyle name="_TG-TH_2_KH2-06 PT LHT Binh Thanh 2003_Book1_Song tra-750-tram nen" xfId="3457" xr:uid="{00000000-0005-0000-0000-0000220C0000}"/>
    <cellStyle name="_TG-TH_2_KH2-06 PT LHT Binh Thanh 2003_Book1_Song tra-750-tram nen 2" xfId="3458" xr:uid="{00000000-0005-0000-0000-0000230C0000}"/>
    <cellStyle name="_TG-TH_2_KH2-06 PT LHT Binh Thanh 2003_Song tra-750-tram nen" xfId="3459" xr:uid="{00000000-0005-0000-0000-0000240C0000}"/>
    <cellStyle name="_TG-TH_2_KH2-06 PT LHT Binh Thanh 2003_Song tra-750-tram nen 2" xfId="3460" xr:uid="{00000000-0005-0000-0000-0000250C0000}"/>
    <cellStyle name="_TG-TH_2_KH2-06 PT LHT Binh Thanh 2003_trinh bao gia" xfId="2251" xr:uid="{00000000-0005-0000-0000-0000260C0000}"/>
    <cellStyle name="_TG-TH_2_KH2-06 PT LHT Binh Thanh 2003_trinh bao gia_06 Thuy san Ninh Phuoc (luu 21-06)" xfId="3461" xr:uid="{00000000-0005-0000-0000-0000270C0000}"/>
    <cellStyle name="_TG-TH_2_KH2-06 PT LHT Binh Thanh 2003_trinh bao gia_BAO TRO XH-DU TOAN" xfId="3462" xr:uid="{00000000-0005-0000-0000-0000280C0000}"/>
    <cellStyle name="_TG-TH_2_KH2-06 PT LHT Binh Thanh 2003_trinh bao gia_BD" xfId="3463" xr:uid="{00000000-0005-0000-0000-0000290C0000}"/>
    <cellStyle name="_TG-TH_2_KH2-06 PT LHT Binh Thanh 2003_trinh bao gia_DI DOI TRUONG LE QUY DON-HC HOAN CONG" xfId="3464" xr:uid="{00000000-0005-0000-0000-00002A0C0000}"/>
    <cellStyle name="_TG-TH_2_KH2-06 PT LHT Binh Thanh 2003_trinh bao gia_DUONG DOI TAN HOI-NEW 21-8-2006" xfId="3465" xr:uid="{00000000-0005-0000-0000-00002B0C0000}"/>
    <cellStyle name="_TG-TH_2_KH2-06 PT LHT Binh Thanh 2003_trinh bao gia_DUONG DOI THI XA-THU HOI-HC 2-3-07 xls" xfId="3466" xr:uid="{00000000-0005-0000-0000-00002C0C0000}"/>
    <cellStyle name="_TG-TH_2_KH2-06 PT LHT Binh Thanh 2003_trinh bao gia_DUONG DOI THI XA-THU HOI-HC 2-3-07 xls_Song tra-750-tram nen" xfId="3467" xr:uid="{00000000-0005-0000-0000-00002D0C0000}"/>
    <cellStyle name="_TG-TH_2_KH2-06 PT LHT Binh Thanh 2003_trinh bao gia_DUONG DOI THI XA-THU HOI-HC 2-3-07 xls_Song tra-750-tram nen 2" xfId="3468" xr:uid="{00000000-0005-0000-0000-00002E0C0000}"/>
    <cellStyle name="_TG-TH_2_KH2-06 PT LHT Binh Thanh 2003_trinh bao gia_Gia cuoc van chuyen" xfId="3469" xr:uid="{00000000-0005-0000-0000-00002F0C0000}"/>
    <cellStyle name="_TG-TH_2_KH2-06 PT LHT Binh Thanh 2003_trinh bao gia_Khu dan cu SO 2(TK BV-TC)-1" xfId="3470" xr:uid="{00000000-0005-0000-0000-0000300C0000}"/>
    <cellStyle name="_TG-TH_2_KH2-06 PT LHT Binh Thanh 2003_trinh bao gia_KHU DAN CU SUOI VANG" xfId="3471" xr:uid="{00000000-0005-0000-0000-0000310C0000}"/>
    <cellStyle name="_TG-TH_2_KH2-06 PT LHT Binh Thanh 2003_trinh bao gia_Khu TDC Phuoc Trung" xfId="3472" xr:uid="{00000000-0005-0000-0000-0000320C0000}"/>
    <cellStyle name="_TG-TH_2_KH2-06 PT LHT Binh Thanh 2003_trinh bao gia_Pham Van Thanh" xfId="3473" xr:uid="{00000000-0005-0000-0000-0000330C0000}"/>
    <cellStyle name="_TG-TH_2_KH2-06 PT LHT Binh Thanh 2003_trinh bao gia_Phuoc My Giai Doan 3-gia moi-14-10-uni" xfId="3474" xr:uid="{00000000-0005-0000-0000-0000340C0000}"/>
    <cellStyle name="_TG-TH_2_KH2-06 PT LHT Binh Thanh 2003_trinh bao gia_Song tra-750-tram nen" xfId="3475" xr:uid="{00000000-0005-0000-0000-0000350C0000}"/>
    <cellStyle name="_TG-TH_2_KH2-06 PT LHT Binh Thanh 2003_trinh bao gia_Song tra-750-tram nen 2" xfId="3476" xr:uid="{00000000-0005-0000-0000-0000360C0000}"/>
    <cellStyle name="_TG-TH_2_KH2-06 PT LHT Binh Thanh 2003_trinh bao gia_Thuan Bac-sua lai" xfId="3477" xr:uid="{00000000-0005-0000-0000-0000370C0000}"/>
    <cellStyle name="_TG-TH_2_KH2-06 PT LHT Binh Thanh 2003_trinh bao gia_VKim" xfId="3478" xr:uid="{00000000-0005-0000-0000-0000380C0000}"/>
    <cellStyle name="_TG-TH_2_KINH DOANH_ SCL 2015" xfId="3910" xr:uid="{00000000-0005-0000-0000-0000390C0000}"/>
    <cellStyle name="_TG-TH_2_Lora-tungchau" xfId="2252" xr:uid="{00000000-0005-0000-0000-00003A0C0000}"/>
    <cellStyle name="_TG-TH_2_Lora-tungchau_Song tra-750-tram nen" xfId="3479" xr:uid="{00000000-0005-0000-0000-00003B0C0000}"/>
    <cellStyle name="_TG-TH_2_Lora-tungchau_Song tra-750-tram nen 2" xfId="3480" xr:uid="{00000000-0005-0000-0000-00003C0C0000}"/>
    <cellStyle name="_TG-TH_2_MUOI TINH PHUOC MINH" xfId="3481" xr:uid="{00000000-0005-0000-0000-00003D0C0000}"/>
    <cellStyle name="_TG-TH_2_MUOI TINH PHUOC MINH_Song tra-750-tram nen" xfId="3482" xr:uid="{00000000-0005-0000-0000-00003E0C0000}"/>
    <cellStyle name="_TG-TH_2_MUOI TINH PHUOC MINH_Song tra-750-tram nen 2" xfId="3483" xr:uid="{00000000-0005-0000-0000-00003F0C0000}"/>
    <cellStyle name="_TG-TH_2_PGIA-phieu tham tra Kho bac" xfId="2253" xr:uid="{00000000-0005-0000-0000-0000400C0000}"/>
    <cellStyle name="_TG-TH_2_PGIA-phieu tham tra Kho bac_Book1" xfId="2254" xr:uid="{00000000-0005-0000-0000-0000410C0000}"/>
    <cellStyle name="_TG-TH_2_PGIA-phieu tham tra Kho bac_Book1_Song tra-750-tram nen" xfId="3484" xr:uid="{00000000-0005-0000-0000-0000420C0000}"/>
    <cellStyle name="_TG-TH_2_PGIA-phieu tham tra Kho bac_Book1_Song tra-750-tram nen 2" xfId="3485" xr:uid="{00000000-0005-0000-0000-0000430C0000}"/>
    <cellStyle name="_TG-TH_2_PGIA-phieu tham tra Kho bac_DT Ngoc Ha" xfId="3486" xr:uid="{00000000-0005-0000-0000-0000440C0000}"/>
    <cellStyle name="_TG-TH_2_PGIA-phieu tham tra Kho bac_DT Ngoc Ha_Song tra-750-tram nen" xfId="3487" xr:uid="{00000000-0005-0000-0000-0000450C0000}"/>
    <cellStyle name="_TG-TH_2_PGIA-phieu tham tra Kho bac_DT Ngoc Ha_Song tra-750-tram nen 2" xfId="3488" xr:uid="{00000000-0005-0000-0000-0000460C0000}"/>
    <cellStyle name="_TG-TH_2_PGIA-phieu tham tra Kho bac_MUOI TINH PHUOC MINH" xfId="3489" xr:uid="{00000000-0005-0000-0000-0000470C0000}"/>
    <cellStyle name="_TG-TH_2_PGIA-phieu tham tra Kho bac_MUOI TINH PHUOC MINH_Song tra-750-tram nen" xfId="3490" xr:uid="{00000000-0005-0000-0000-0000480C0000}"/>
    <cellStyle name="_TG-TH_2_PGIA-phieu tham tra Kho bac_MUOI TINH PHUOC MINH_Song tra-750-tram nen 2" xfId="3491" xr:uid="{00000000-0005-0000-0000-0000490C0000}"/>
    <cellStyle name="_TG-TH_2_PGIA-phieu tham tra Kho bac_Song tra-750-tram nen" xfId="3492" xr:uid="{00000000-0005-0000-0000-00004A0C0000}"/>
    <cellStyle name="_TG-TH_2_PGIA-phieu tham tra Kho bac_Song tra-750-tram nen 2" xfId="3493" xr:uid="{00000000-0005-0000-0000-00004B0C0000}"/>
    <cellStyle name="_TG-TH_2_PGIA-phieu tham tra Kho bac_TDC Tan My" xfId="3494" xr:uid="{00000000-0005-0000-0000-00004C0C0000}"/>
    <cellStyle name="_TG-TH_2_PGIA-phieu tham tra Kho bac_TDC Tan My_Song tra-750-tram nen" xfId="3495" xr:uid="{00000000-0005-0000-0000-00004D0C0000}"/>
    <cellStyle name="_TG-TH_2_PGIA-phieu tham tra Kho bac_TDC Tan My_Song tra-750-tram nen 2" xfId="3496" xr:uid="{00000000-0005-0000-0000-00004E0C0000}"/>
    <cellStyle name="_TG-TH_2_PGIA-phieu tham tra Kho bac_trinh bao gia" xfId="2255" xr:uid="{00000000-0005-0000-0000-00004F0C0000}"/>
    <cellStyle name="_TG-TH_2_PGIA-phieu tham tra Kho bac_trinh bao gia_06 Thuy san Ninh Phuoc (luu 21-06)" xfId="3497" xr:uid="{00000000-0005-0000-0000-0000500C0000}"/>
    <cellStyle name="_TG-TH_2_PGIA-phieu tham tra Kho bac_trinh bao gia_BAO TRO XH-DU TOAN" xfId="3498" xr:uid="{00000000-0005-0000-0000-0000510C0000}"/>
    <cellStyle name="_TG-TH_2_PGIA-phieu tham tra Kho bac_trinh bao gia_BD" xfId="3499" xr:uid="{00000000-0005-0000-0000-0000520C0000}"/>
    <cellStyle name="_TG-TH_2_PGIA-phieu tham tra Kho bac_trinh bao gia_DI DOI TRUONG LE QUY DON-HC HOAN CONG" xfId="3500" xr:uid="{00000000-0005-0000-0000-0000530C0000}"/>
    <cellStyle name="_TG-TH_2_PGIA-phieu tham tra Kho bac_trinh bao gia_DUONG DOI TAN HOI-NEW 21-8-2006" xfId="3501" xr:uid="{00000000-0005-0000-0000-0000540C0000}"/>
    <cellStyle name="_TG-TH_2_PGIA-phieu tham tra Kho bac_trinh bao gia_DUONG DOI THI XA-THU HOI-HC 2-3-07 xls" xfId="3502" xr:uid="{00000000-0005-0000-0000-0000550C0000}"/>
    <cellStyle name="_TG-TH_2_PGIA-phieu tham tra Kho bac_trinh bao gia_DUONG DOI THI XA-THU HOI-HC 2-3-07 xls_Song tra-750-tram nen" xfId="3503" xr:uid="{00000000-0005-0000-0000-0000560C0000}"/>
    <cellStyle name="_TG-TH_2_PGIA-phieu tham tra Kho bac_trinh bao gia_DUONG DOI THI XA-THU HOI-HC 2-3-07 xls_Song tra-750-tram nen 2" xfId="3504" xr:uid="{00000000-0005-0000-0000-0000570C0000}"/>
    <cellStyle name="_TG-TH_2_PGIA-phieu tham tra Kho bac_trinh bao gia_Gia cuoc van chuyen" xfId="3505" xr:uid="{00000000-0005-0000-0000-0000580C0000}"/>
    <cellStyle name="_TG-TH_2_PGIA-phieu tham tra Kho bac_trinh bao gia_Khu dan cu SO 2(TK BV-TC)-1" xfId="3506" xr:uid="{00000000-0005-0000-0000-0000590C0000}"/>
    <cellStyle name="_TG-TH_2_PGIA-phieu tham tra Kho bac_trinh bao gia_KHU DAN CU SUOI VANG" xfId="3507" xr:uid="{00000000-0005-0000-0000-00005A0C0000}"/>
    <cellStyle name="_TG-TH_2_PGIA-phieu tham tra Kho bac_trinh bao gia_Khu TDC Phuoc Trung" xfId="3508" xr:uid="{00000000-0005-0000-0000-00005B0C0000}"/>
    <cellStyle name="_TG-TH_2_PGIA-phieu tham tra Kho bac_trinh bao gia_Pham Van Thanh" xfId="3509" xr:uid="{00000000-0005-0000-0000-00005C0C0000}"/>
    <cellStyle name="_TG-TH_2_PGIA-phieu tham tra Kho bac_trinh bao gia_Phuoc My Giai Doan 3-gia moi-14-10-uni" xfId="3510" xr:uid="{00000000-0005-0000-0000-00005D0C0000}"/>
    <cellStyle name="_TG-TH_2_PGIA-phieu tham tra Kho bac_trinh bao gia_Song tra-750-tram nen" xfId="3511" xr:uid="{00000000-0005-0000-0000-00005E0C0000}"/>
    <cellStyle name="_TG-TH_2_PGIA-phieu tham tra Kho bac_trinh bao gia_Song tra-750-tram nen 2" xfId="3512" xr:uid="{00000000-0005-0000-0000-00005F0C0000}"/>
    <cellStyle name="_TG-TH_2_PGIA-phieu tham tra Kho bac_trinh bao gia_Thuan Bac-sua lai" xfId="3513" xr:uid="{00000000-0005-0000-0000-0000600C0000}"/>
    <cellStyle name="_TG-TH_2_PGIA-phieu tham tra Kho bac_trinh bao gia_VKim" xfId="3514" xr:uid="{00000000-0005-0000-0000-0000610C0000}"/>
    <cellStyle name="_TG-TH_2_PGIA-phieu tham tra Kho bac_Truong day nghe (20.1.06)" xfId="3515" xr:uid="{00000000-0005-0000-0000-0000620C0000}"/>
    <cellStyle name="_TG-TH_2_PGIA-phieu tham tra Kho bac_Truong day nghe (20.1.06) 2" xfId="3516" xr:uid="{00000000-0005-0000-0000-0000630C0000}"/>
    <cellStyle name="_TG-TH_2_PHUOC HUU" xfId="3517" xr:uid="{00000000-0005-0000-0000-0000640C0000}"/>
    <cellStyle name="_TG-TH_2_PHUOC HUU_Song tra-750-tram nen" xfId="3518" xr:uid="{00000000-0005-0000-0000-0000650C0000}"/>
    <cellStyle name="_TG-TH_2_PHUOC HUU_Song tra-750-tram nen 2" xfId="3519" xr:uid="{00000000-0005-0000-0000-0000660C0000}"/>
    <cellStyle name="_TG-TH_2_PT02-02" xfId="2256" xr:uid="{00000000-0005-0000-0000-0000670C0000}"/>
    <cellStyle name="_TG-TH_2_PT02-02_Book1" xfId="2257" xr:uid="{00000000-0005-0000-0000-0000680C0000}"/>
    <cellStyle name="_TG-TH_2_PT02-02_Book1_Song tra-750-tram nen" xfId="3520" xr:uid="{00000000-0005-0000-0000-0000690C0000}"/>
    <cellStyle name="_TG-TH_2_PT02-02_Book1_Song tra-750-tram nen 2" xfId="3521" xr:uid="{00000000-0005-0000-0000-00006A0C0000}"/>
    <cellStyle name="_TG-TH_2_PT02-02_DT Ngoc Ha" xfId="3522" xr:uid="{00000000-0005-0000-0000-00006B0C0000}"/>
    <cellStyle name="_TG-TH_2_PT02-02_DT Ngoc Ha_Song tra-750-tram nen" xfId="3523" xr:uid="{00000000-0005-0000-0000-00006C0C0000}"/>
    <cellStyle name="_TG-TH_2_PT02-02_DT Ngoc Ha_Song tra-750-tram nen 2" xfId="3524" xr:uid="{00000000-0005-0000-0000-00006D0C0000}"/>
    <cellStyle name="_TG-TH_2_PT02-02_MUOI TINH PHUOC MINH" xfId="3525" xr:uid="{00000000-0005-0000-0000-00006E0C0000}"/>
    <cellStyle name="_TG-TH_2_PT02-02_MUOI TINH PHUOC MINH_Song tra-750-tram nen" xfId="3526" xr:uid="{00000000-0005-0000-0000-00006F0C0000}"/>
    <cellStyle name="_TG-TH_2_PT02-02_MUOI TINH PHUOC MINH_Song tra-750-tram nen 2" xfId="3527" xr:uid="{00000000-0005-0000-0000-0000700C0000}"/>
    <cellStyle name="_TG-TH_2_PT02-02_Song tra-750-tram nen" xfId="3528" xr:uid="{00000000-0005-0000-0000-0000710C0000}"/>
    <cellStyle name="_TG-TH_2_PT02-02_Song tra-750-tram nen 2" xfId="3529" xr:uid="{00000000-0005-0000-0000-0000720C0000}"/>
    <cellStyle name="_TG-TH_2_PT02-02_TDC Tan My" xfId="3530" xr:uid="{00000000-0005-0000-0000-0000730C0000}"/>
    <cellStyle name="_TG-TH_2_PT02-02_TDC Tan My_Song tra-750-tram nen" xfId="3531" xr:uid="{00000000-0005-0000-0000-0000740C0000}"/>
    <cellStyle name="_TG-TH_2_PT02-02_TDC Tan My_Song tra-750-tram nen 2" xfId="3532" xr:uid="{00000000-0005-0000-0000-0000750C0000}"/>
    <cellStyle name="_TG-TH_2_PT02-02_trinh bao gia" xfId="2258" xr:uid="{00000000-0005-0000-0000-0000760C0000}"/>
    <cellStyle name="_TG-TH_2_PT02-02_trinh bao gia_06 Thuy san Ninh Phuoc (luu 21-06)" xfId="3533" xr:uid="{00000000-0005-0000-0000-0000770C0000}"/>
    <cellStyle name="_TG-TH_2_PT02-02_trinh bao gia_BAO TRO XH-DU TOAN" xfId="3534" xr:uid="{00000000-0005-0000-0000-0000780C0000}"/>
    <cellStyle name="_TG-TH_2_PT02-02_trinh bao gia_BD" xfId="3535" xr:uid="{00000000-0005-0000-0000-0000790C0000}"/>
    <cellStyle name="_TG-TH_2_PT02-02_trinh bao gia_DI DOI TRUONG LE QUY DON-HC HOAN CONG" xfId="3536" xr:uid="{00000000-0005-0000-0000-00007A0C0000}"/>
    <cellStyle name="_TG-TH_2_PT02-02_trinh bao gia_DUONG DOI TAN HOI-NEW 21-8-2006" xfId="3537" xr:uid="{00000000-0005-0000-0000-00007B0C0000}"/>
    <cellStyle name="_TG-TH_2_PT02-02_trinh bao gia_DUONG DOI THI XA-THU HOI-HC 2-3-07 xls" xfId="3538" xr:uid="{00000000-0005-0000-0000-00007C0C0000}"/>
    <cellStyle name="_TG-TH_2_PT02-02_trinh bao gia_DUONG DOI THI XA-THU HOI-HC 2-3-07 xls_Song tra-750-tram nen" xfId="3539" xr:uid="{00000000-0005-0000-0000-00007D0C0000}"/>
    <cellStyle name="_TG-TH_2_PT02-02_trinh bao gia_DUONG DOI THI XA-THU HOI-HC 2-3-07 xls_Song tra-750-tram nen 2" xfId="3540" xr:uid="{00000000-0005-0000-0000-00007E0C0000}"/>
    <cellStyle name="_TG-TH_2_PT02-02_trinh bao gia_Gia cuoc van chuyen" xfId="3541" xr:uid="{00000000-0005-0000-0000-00007F0C0000}"/>
    <cellStyle name="_TG-TH_2_PT02-02_trinh bao gia_Khu dan cu SO 2(TK BV-TC)-1" xfId="3542" xr:uid="{00000000-0005-0000-0000-0000800C0000}"/>
    <cellStyle name="_TG-TH_2_PT02-02_trinh bao gia_KHU DAN CU SUOI VANG" xfId="3543" xr:uid="{00000000-0005-0000-0000-0000810C0000}"/>
    <cellStyle name="_TG-TH_2_PT02-02_trinh bao gia_Khu TDC Phuoc Trung" xfId="3544" xr:uid="{00000000-0005-0000-0000-0000820C0000}"/>
    <cellStyle name="_TG-TH_2_PT02-02_trinh bao gia_Pham Van Thanh" xfId="3545" xr:uid="{00000000-0005-0000-0000-0000830C0000}"/>
    <cellStyle name="_TG-TH_2_PT02-02_trinh bao gia_Phuoc My Giai Doan 3-gia moi-14-10-uni" xfId="3546" xr:uid="{00000000-0005-0000-0000-0000840C0000}"/>
    <cellStyle name="_TG-TH_2_PT02-02_trinh bao gia_Song tra-750-tram nen" xfId="3547" xr:uid="{00000000-0005-0000-0000-0000850C0000}"/>
    <cellStyle name="_TG-TH_2_PT02-02_trinh bao gia_Song tra-750-tram nen 2" xfId="3548" xr:uid="{00000000-0005-0000-0000-0000860C0000}"/>
    <cellStyle name="_TG-TH_2_PT02-02_trinh bao gia_Thuan Bac-sua lai" xfId="3549" xr:uid="{00000000-0005-0000-0000-0000870C0000}"/>
    <cellStyle name="_TG-TH_2_PT02-02_trinh bao gia_VKim" xfId="3550" xr:uid="{00000000-0005-0000-0000-0000880C0000}"/>
    <cellStyle name="_TG-TH_2_PT02-02_Truong day nghe (20.1.06)" xfId="3551" xr:uid="{00000000-0005-0000-0000-0000890C0000}"/>
    <cellStyle name="_TG-TH_2_PT02-02_Truong day nghe (20.1.06) 2" xfId="3552" xr:uid="{00000000-0005-0000-0000-00008A0C0000}"/>
    <cellStyle name="_TG-TH_2_PT02-03" xfId="2259" xr:uid="{00000000-0005-0000-0000-00008B0C0000}"/>
    <cellStyle name="_TG-TH_2_PT02-03_Book1" xfId="2260" xr:uid="{00000000-0005-0000-0000-00008C0C0000}"/>
    <cellStyle name="_TG-TH_2_PT02-03_Book1_Song tra-750-tram nen" xfId="3553" xr:uid="{00000000-0005-0000-0000-00008D0C0000}"/>
    <cellStyle name="_TG-TH_2_PT02-03_Book1_Song tra-750-tram nen 2" xfId="3554" xr:uid="{00000000-0005-0000-0000-00008E0C0000}"/>
    <cellStyle name="_TG-TH_2_PT02-03_DT Ngoc Ha" xfId="3555" xr:uid="{00000000-0005-0000-0000-00008F0C0000}"/>
    <cellStyle name="_TG-TH_2_PT02-03_DT Ngoc Ha_Song tra-750-tram nen" xfId="3556" xr:uid="{00000000-0005-0000-0000-0000900C0000}"/>
    <cellStyle name="_TG-TH_2_PT02-03_DT Ngoc Ha_Song tra-750-tram nen 2" xfId="3557" xr:uid="{00000000-0005-0000-0000-0000910C0000}"/>
    <cellStyle name="_TG-TH_2_PT02-03_MUOI TINH PHUOC MINH" xfId="3558" xr:uid="{00000000-0005-0000-0000-0000920C0000}"/>
    <cellStyle name="_TG-TH_2_PT02-03_MUOI TINH PHUOC MINH_Song tra-750-tram nen" xfId="3559" xr:uid="{00000000-0005-0000-0000-0000930C0000}"/>
    <cellStyle name="_TG-TH_2_PT02-03_MUOI TINH PHUOC MINH_Song tra-750-tram nen 2" xfId="3560" xr:uid="{00000000-0005-0000-0000-0000940C0000}"/>
    <cellStyle name="_TG-TH_2_PT02-03_Song tra-750-tram nen" xfId="3561" xr:uid="{00000000-0005-0000-0000-0000950C0000}"/>
    <cellStyle name="_TG-TH_2_PT02-03_Song tra-750-tram nen 2" xfId="3562" xr:uid="{00000000-0005-0000-0000-0000960C0000}"/>
    <cellStyle name="_TG-TH_2_PT02-03_TDC Tan My" xfId="3563" xr:uid="{00000000-0005-0000-0000-0000970C0000}"/>
    <cellStyle name="_TG-TH_2_PT02-03_TDC Tan My_Song tra-750-tram nen" xfId="3564" xr:uid="{00000000-0005-0000-0000-0000980C0000}"/>
    <cellStyle name="_TG-TH_2_PT02-03_TDC Tan My_Song tra-750-tram nen 2" xfId="3565" xr:uid="{00000000-0005-0000-0000-0000990C0000}"/>
    <cellStyle name="_TG-TH_2_PT02-03_trinh bao gia" xfId="2261" xr:uid="{00000000-0005-0000-0000-00009A0C0000}"/>
    <cellStyle name="_TG-TH_2_PT02-03_trinh bao gia_06 Thuy san Ninh Phuoc (luu 21-06)" xfId="3566" xr:uid="{00000000-0005-0000-0000-00009B0C0000}"/>
    <cellStyle name="_TG-TH_2_PT02-03_trinh bao gia_BAO TRO XH-DU TOAN" xfId="3567" xr:uid="{00000000-0005-0000-0000-00009C0C0000}"/>
    <cellStyle name="_TG-TH_2_PT02-03_trinh bao gia_BD" xfId="3568" xr:uid="{00000000-0005-0000-0000-00009D0C0000}"/>
    <cellStyle name="_TG-TH_2_PT02-03_trinh bao gia_DI DOI TRUONG LE QUY DON-HC HOAN CONG" xfId="3569" xr:uid="{00000000-0005-0000-0000-00009E0C0000}"/>
    <cellStyle name="_TG-TH_2_PT02-03_trinh bao gia_DUONG DOI TAN HOI-NEW 21-8-2006" xfId="3570" xr:uid="{00000000-0005-0000-0000-00009F0C0000}"/>
    <cellStyle name="_TG-TH_2_PT02-03_trinh bao gia_DUONG DOI THI XA-THU HOI-HC 2-3-07 xls" xfId="3571" xr:uid="{00000000-0005-0000-0000-0000A00C0000}"/>
    <cellStyle name="_TG-TH_2_PT02-03_trinh bao gia_DUONG DOI THI XA-THU HOI-HC 2-3-07 xls_Song tra-750-tram nen" xfId="3572" xr:uid="{00000000-0005-0000-0000-0000A10C0000}"/>
    <cellStyle name="_TG-TH_2_PT02-03_trinh bao gia_DUONG DOI THI XA-THU HOI-HC 2-3-07 xls_Song tra-750-tram nen 2" xfId="3573" xr:uid="{00000000-0005-0000-0000-0000A20C0000}"/>
    <cellStyle name="_TG-TH_2_PT02-03_trinh bao gia_Gia cuoc van chuyen" xfId="3574" xr:uid="{00000000-0005-0000-0000-0000A30C0000}"/>
    <cellStyle name="_TG-TH_2_PT02-03_trinh bao gia_Khu dan cu SO 2(TK BV-TC)-1" xfId="3575" xr:uid="{00000000-0005-0000-0000-0000A40C0000}"/>
    <cellStyle name="_TG-TH_2_PT02-03_trinh bao gia_KHU DAN CU SUOI VANG" xfId="3576" xr:uid="{00000000-0005-0000-0000-0000A50C0000}"/>
    <cellStyle name="_TG-TH_2_PT02-03_trinh bao gia_Khu TDC Phuoc Trung" xfId="3577" xr:uid="{00000000-0005-0000-0000-0000A60C0000}"/>
    <cellStyle name="_TG-TH_2_PT02-03_trinh bao gia_Pham Van Thanh" xfId="3578" xr:uid="{00000000-0005-0000-0000-0000A70C0000}"/>
    <cellStyle name="_TG-TH_2_PT02-03_trinh bao gia_Phuoc My Giai Doan 3-gia moi-14-10-uni" xfId="3579" xr:uid="{00000000-0005-0000-0000-0000A80C0000}"/>
    <cellStyle name="_TG-TH_2_PT02-03_trinh bao gia_Song tra-750-tram nen" xfId="3580" xr:uid="{00000000-0005-0000-0000-0000A90C0000}"/>
    <cellStyle name="_TG-TH_2_PT02-03_trinh bao gia_Song tra-750-tram nen 2" xfId="3581" xr:uid="{00000000-0005-0000-0000-0000AA0C0000}"/>
    <cellStyle name="_TG-TH_2_PT02-03_trinh bao gia_Thuan Bac-sua lai" xfId="3582" xr:uid="{00000000-0005-0000-0000-0000AB0C0000}"/>
    <cellStyle name="_TG-TH_2_PT02-03_trinh bao gia_VKim" xfId="3583" xr:uid="{00000000-0005-0000-0000-0000AC0C0000}"/>
    <cellStyle name="_TG-TH_2_PT02-03_Truong day nghe (20.1.06)" xfId="3584" xr:uid="{00000000-0005-0000-0000-0000AD0C0000}"/>
    <cellStyle name="_TG-TH_2_PT02-03_Truong day nghe (20.1.06) 2" xfId="3585" xr:uid="{00000000-0005-0000-0000-0000AE0C0000}"/>
    <cellStyle name="_TG-TH_2_Qt-HT3PQ1(CauKho)" xfId="2262" xr:uid="{00000000-0005-0000-0000-0000AF0C0000}"/>
    <cellStyle name="_TG-TH_2_Qt-HT3PQ1(CauKho)_Song tra-750-tram nen" xfId="3586" xr:uid="{00000000-0005-0000-0000-0000B00C0000}"/>
    <cellStyle name="_TG-TH_2_Qt-HT3PQ1(CauKho)_Song tra-750-tram nen 2" xfId="3587" xr:uid="{00000000-0005-0000-0000-0000B10C0000}"/>
    <cellStyle name="_TG-TH_2_SCL 07-Phuoc Hau-unicod" xfId="2263" xr:uid="{00000000-0005-0000-0000-0000B20C0000}"/>
    <cellStyle name="_TG-TH_2_SCL tram GO DEN - GO THAO" xfId="2264" xr:uid="{00000000-0005-0000-0000-0000B30C0000}"/>
    <cellStyle name="_TG-TH_2_SO TRU TRUNG AP SCL GUI ANH PHUONG" xfId="3911" xr:uid="{00000000-0005-0000-0000-0000B40C0000}"/>
    <cellStyle name="_TG-TH_2_Song tra-750-tram nen" xfId="3588" xr:uid="{00000000-0005-0000-0000-0000B50C0000}"/>
    <cellStyle name="_TG-TH_2_Song tra-750-tram nen 2" xfId="3589" xr:uid="{00000000-0005-0000-0000-0000B60C0000}"/>
    <cellStyle name="_TG-TH_2_sua chua lon Thao 1" xfId="3912" xr:uid="{00000000-0005-0000-0000-0000B70C0000}"/>
    <cellStyle name="_TG-TH_2_TDC Tan My" xfId="3590" xr:uid="{00000000-0005-0000-0000-0000B80C0000}"/>
    <cellStyle name="_TG-TH_2_TDC Tan My_Song tra-750-tram nen" xfId="3591" xr:uid="{00000000-0005-0000-0000-0000B90C0000}"/>
    <cellStyle name="_TG-TH_2_TDC Tan My_Song tra-750-tram nen 2" xfId="3592" xr:uid="{00000000-0005-0000-0000-0000BA0C0000}"/>
    <cellStyle name="_TG-TH_2_TDT-MAU2" xfId="2265" xr:uid="{00000000-0005-0000-0000-0000BB0C0000}"/>
    <cellStyle name="_TG-TH_2_TDT-MAU2_Song tra-750-tram nen" xfId="3593" xr:uid="{00000000-0005-0000-0000-0000BC0C0000}"/>
    <cellStyle name="_TG-TH_2_TDT-MAU2_Song tra-750-tram nen 2" xfId="3594" xr:uid="{00000000-0005-0000-0000-0000BD0C0000}"/>
    <cellStyle name="_TG-TH_2_THANHLOC Khai Hung" xfId="2266" xr:uid="{00000000-0005-0000-0000-0000BE0C0000}"/>
    <cellStyle name="_TG-TH_2_THANHLOC Khai Hung_Book1" xfId="2267" xr:uid="{00000000-0005-0000-0000-0000BF0C0000}"/>
    <cellStyle name="_TG-TH_2_THANHLOC Khai Hung_Book1_Song tra-750-tram nen" xfId="3595" xr:uid="{00000000-0005-0000-0000-0000C00C0000}"/>
    <cellStyle name="_TG-TH_2_THANHLOC Khai Hung_Book1_Song tra-750-tram nen 2" xfId="3596" xr:uid="{00000000-0005-0000-0000-0000C10C0000}"/>
    <cellStyle name="_TG-TH_2_THANHLOC Khai Hung_Song tra-750-tram nen" xfId="3597" xr:uid="{00000000-0005-0000-0000-0000C20C0000}"/>
    <cellStyle name="_TG-TH_2_THANHLOC Khai Hung_Song tra-750-tram nen 2" xfId="3598" xr:uid="{00000000-0005-0000-0000-0000C30C0000}"/>
    <cellStyle name="_TG-TH_2_THANHLOC Khai Hung_trinh bao gia" xfId="2268" xr:uid="{00000000-0005-0000-0000-0000C40C0000}"/>
    <cellStyle name="_TG-TH_2_THANHLOC Khai Hung_trinh bao gia_06 Thuy san Ninh Phuoc (luu 21-06)" xfId="3599" xr:uid="{00000000-0005-0000-0000-0000C50C0000}"/>
    <cellStyle name="_TG-TH_2_THANHLOC Khai Hung_trinh bao gia_BAO TRO XH-DU TOAN" xfId="3600" xr:uid="{00000000-0005-0000-0000-0000C60C0000}"/>
    <cellStyle name="_TG-TH_2_THANHLOC Khai Hung_trinh bao gia_BD" xfId="3601" xr:uid="{00000000-0005-0000-0000-0000C70C0000}"/>
    <cellStyle name="_TG-TH_2_THANHLOC Khai Hung_trinh bao gia_DI DOI TRUONG LE QUY DON-HC HOAN CONG" xfId="3602" xr:uid="{00000000-0005-0000-0000-0000C80C0000}"/>
    <cellStyle name="_TG-TH_2_THANHLOC Khai Hung_trinh bao gia_DUONG DOI TAN HOI-NEW 21-8-2006" xfId="3603" xr:uid="{00000000-0005-0000-0000-0000C90C0000}"/>
    <cellStyle name="_TG-TH_2_THANHLOC Khai Hung_trinh bao gia_DUONG DOI THI XA-THU HOI-HC 2-3-07 xls" xfId="3604" xr:uid="{00000000-0005-0000-0000-0000CA0C0000}"/>
    <cellStyle name="_TG-TH_2_THANHLOC Khai Hung_trinh bao gia_DUONG DOI THI XA-THU HOI-HC 2-3-07 xls_Song tra-750-tram nen" xfId="3605" xr:uid="{00000000-0005-0000-0000-0000CB0C0000}"/>
    <cellStyle name="_TG-TH_2_THANHLOC Khai Hung_trinh bao gia_DUONG DOI THI XA-THU HOI-HC 2-3-07 xls_Song tra-750-tram nen 2" xfId="3606" xr:uid="{00000000-0005-0000-0000-0000CC0C0000}"/>
    <cellStyle name="_TG-TH_2_THANHLOC Khai Hung_trinh bao gia_Gia cuoc van chuyen" xfId="3607" xr:uid="{00000000-0005-0000-0000-0000CD0C0000}"/>
    <cellStyle name="_TG-TH_2_THANHLOC Khai Hung_trinh bao gia_Khu dan cu SO 2(TK BV-TC)-1" xfId="3608" xr:uid="{00000000-0005-0000-0000-0000CE0C0000}"/>
    <cellStyle name="_TG-TH_2_THANHLOC Khai Hung_trinh bao gia_KHU DAN CU SUOI VANG" xfId="3609" xr:uid="{00000000-0005-0000-0000-0000CF0C0000}"/>
    <cellStyle name="_TG-TH_2_THANHLOC Khai Hung_trinh bao gia_Khu TDC Phuoc Trung" xfId="3610" xr:uid="{00000000-0005-0000-0000-0000D00C0000}"/>
    <cellStyle name="_TG-TH_2_THANHLOC Khai Hung_trinh bao gia_Pham Van Thanh" xfId="3611" xr:uid="{00000000-0005-0000-0000-0000D10C0000}"/>
    <cellStyle name="_TG-TH_2_THANHLOC Khai Hung_trinh bao gia_Phuoc My Giai Doan 3-gia moi-14-10-uni" xfId="3612" xr:uid="{00000000-0005-0000-0000-0000D20C0000}"/>
    <cellStyle name="_TG-TH_2_THANHLOC Khai Hung_trinh bao gia_Song tra-750-tram nen" xfId="3613" xr:uid="{00000000-0005-0000-0000-0000D30C0000}"/>
    <cellStyle name="_TG-TH_2_THANHLOC Khai Hung_trinh bao gia_Song tra-750-tram nen 2" xfId="3614" xr:uid="{00000000-0005-0000-0000-0000D40C0000}"/>
    <cellStyle name="_TG-TH_2_THANHLOC Khai Hung_trinh bao gia_Thuan Bac-sua lai" xfId="3615" xr:uid="{00000000-0005-0000-0000-0000D50C0000}"/>
    <cellStyle name="_TG-TH_2_THANHLOC Khai Hung_trinh bao gia_VKim" xfId="3616" xr:uid="{00000000-0005-0000-0000-0000D60C0000}"/>
    <cellStyle name="_TG-TH_2_THG" xfId="2269" xr:uid="{00000000-0005-0000-0000-0000D70C0000}"/>
    <cellStyle name="_TG-TH_2_THG_Song tra-750-tram nen" xfId="3617" xr:uid="{00000000-0005-0000-0000-0000D80C0000}"/>
    <cellStyle name="_TG-TH_2_THG_Song tra-750-tram nen 2" xfId="3618" xr:uid="{00000000-0005-0000-0000-0000D90C0000}"/>
    <cellStyle name="_TG-TH_2_TONG KE GO DEN-GO THAO" xfId="2270" xr:uid="{00000000-0005-0000-0000-0000DA0C0000}"/>
    <cellStyle name="_TG-TH_2_Tong ke SCL bo sung 2007" xfId="2271" xr:uid="{00000000-0005-0000-0000-0000DB0C0000}"/>
    <cellStyle name="_TG-TH_2_Tong ke sua chua DZ dke (xoa tong gd 2)-NLam 2 -Vtu" xfId="2272" xr:uid="{00000000-0005-0000-0000-0000DC0C0000}"/>
    <cellStyle name="_TG-TH_2_Tong ke sua chua DZ dke (xoa tong gd 2)-NLam-Vtu" xfId="2273" xr:uid="{00000000-0005-0000-0000-0000DD0C0000}"/>
    <cellStyle name="_TG-TH_2_Tong ke sua chua DZ dke (xoa tong gd 2)-VLam 1" xfId="2274" xr:uid="{00000000-0005-0000-0000-0000DE0C0000}"/>
    <cellStyle name="_TG-TH_2_Tong ke sua chua DZ dke (xoa tong gd 2)-VLam 2" xfId="2275" xr:uid="{00000000-0005-0000-0000-0000DF0C0000}"/>
    <cellStyle name="_TG-TH_2_trinh bao gia" xfId="2276" xr:uid="{00000000-0005-0000-0000-0000E00C0000}"/>
    <cellStyle name="_TG-TH_2_trinh bao gia_06 Thuy san Ninh Phuoc (luu 21-06)" xfId="3619" xr:uid="{00000000-0005-0000-0000-0000E10C0000}"/>
    <cellStyle name="_TG-TH_2_trinh bao gia_BAO TRO XH-DU TOAN" xfId="3620" xr:uid="{00000000-0005-0000-0000-0000E20C0000}"/>
    <cellStyle name="_TG-TH_2_trinh bao gia_BD" xfId="3621" xr:uid="{00000000-0005-0000-0000-0000E30C0000}"/>
    <cellStyle name="_TG-TH_2_trinh bao gia_DI DOI TRUONG LE QUY DON-HC HOAN CONG" xfId="3622" xr:uid="{00000000-0005-0000-0000-0000E40C0000}"/>
    <cellStyle name="_TG-TH_2_trinh bao gia_DUONG DOI TAN HOI-NEW 21-8-2006" xfId="3623" xr:uid="{00000000-0005-0000-0000-0000E50C0000}"/>
    <cellStyle name="_TG-TH_2_trinh bao gia_DUONG DOI THI XA-THU HOI-HC 2-3-07 xls" xfId="3624" xr:uid="{00000000-0005-0000-0000-0000E60C0000}"/>
    <cellStyle name="_TG-TH_2_trinh bao gia_DUONG DOI THI XA-THU HOI-HC 2-3-07 xls_Song tra-750-tram nen" xfId="3625" xr:uid="{00000000-0005-0000-0000-0000E70C0000}"/>
    <cellStyle name="_TG-TH_2_trinh bao gia_DUONG DOI THI XA-THU HOI-HC 2-3-07 xls_Song tra-750-tram nen 2" xfId="3626" xr:uid="{00000000-0005-0000-0000-0000E80C0000}"/>
    <cellStyle name="_TG-TH_2_trinh bao gia_Gia cuoc van chuyen" xfId="3627" xr:uid="{00000000-0005-0000-0000-0000E90C0000}"/>
    <cellStyle name="_TG-TH_2_trinh bao gia_Khu dan cu SO 2(TK BV-TC)-1" xfId="3628" xr:uid="{00000000-0005-0000-0000-0000EA0C0000}"/>
    <cellStyle name="_TG-TH_2_trinh bao gia_KHU DAN CU SUOI VANG" xfId="3629" xr:uid="{00000000-0005-0000-0000-0000EB0C0000}"/>
    <cellStyle name="_TG-TH_2_trinh bao gia_Khu TDC Phuoc Trung" xfId="3630" xr:uid="{00000000-0005-0000-0000-0000EC0C0000}"/>
    <cellStyle name="_TG-TH_2_trinh bao gia_Pham Van Thanh" xfId="3631" xr:uid="{00000000-0005-0000-0000-0000ED0C0000}"/>
    <cellStyle name="_TG-TH_2_trinh bao gia_Phuoc My Giai Doan 3-gia moi-14-10-uni" xfId="3632" xr:uid="{00000000-0005-0000-0000-0000EE0C0000}"/>
    <cellStyle name="_TG-TH_2_trinh bao gia_Song tra-750-tram nen" xfId="3633" xr:uid="{00000000-0005-0000-0000-0000EF0C0000}"/>
    <cellStyle name="_TG-TH_2_trinh bao gia_Song tra-750-tram nen 2" xfId="3634" xr:uid="{00000000-0005-0000-0000-0000F00C0000}"/>
    <cellStyle name="_TG-TH_2_trinh bao gia_Thuan Bac-sua lai" xfId="3635" xr:uid="{00000000-0005-0000-0000-0000F10C0000}"/>
    <cellStyle name="_TG-TH_2_trinh bao gia_VKim" xfId="3636" xr:uid="{00000000-0005-0000-0000-0000F20C0000}"/>
    <cellStyle name="_TG-TH_2_Truong day nghe (20.1.06)" xfId="3637" xr:uid="{00000000-0005-0000-0000-0000F30C0000}"/>
    <cellStyle name="_TG-TH_2_Truong day nghe (20.1.06) 2" xfId="3638" xr:uid="{00000000-0005-0000-0000-0000F40C0000}"/>
    <cellStyle name="_TG-TH_3" xfId="2277" xr:uid="{00000000-0005-0000-0000-0000F50C0000}"/>
    <cellStyle name="_TG-TH_3_Book1" xfId="2278" xr:uid="{00000000-0005-0000-0000-0000F60C0000}"/>
    <cellStyle name="_TG-TH_3_Book1_Song tra-750-tram nen" xfId="3639" xr:uid="{00000000-0005-0000-0000-0000F70C0000}"/>
    <cellStyle name="_TG-TH_3_Du toan thay ong ep va da composite sua" xfId="3913" xr:uid="{00000000-0005-0000-0000-0000F80C0000}"/>
    <cellStyle name="_TG-TH_3_KHU DAN CU SUOI VANG" xfId="3640" xr:uid="{00000000-0005-0000-0000-0000F90C0000}"/>
    <cellStyle name="_TG-TH_3_Khu dan cu Thap Cham 1 (TK BV-TC)-2-HC LAN 1" xfId="3641" xr:uid="{00000000-0005-0000-0000-0000FA0C0000}"/>
    <cellStyle name="_TG-TH_3_Khu TDC Phuoc Trung" xfId="3642" xr:uid="{00000000-0005-0000-0000-0000FB0C0000}"/>
    <cellStyle name="_TG-TH_3_Khu TDC Phuoc Trung_Song tra-750-tram nen" xfId="3643" xr:uid="{00000000-0005-0000-0000-0000FC0C0000}"/>
    <cellStyle name="_TG-TH_3_Lora-tungchau" xfId="2279" xr:uid="{00000000-0005-0000-0000-0000FD0C0000}"/>
    <cellStyle name="_TG-TH_3_Lora-tungchau_Song tra-750-tram nen" xfId="3644" xr:uid="{00000000-0005-0000-0000-0000FE0C0000}"/>
    <cellStyle name="_TG-TH_3_Qt-HT3PQ1(CauKho)" xfId="2280" xr:uid="{00000000-0005-0000-0000-0000FF0C0000}"/>
    <cellStyle name="_TG-TH_3_Qt-HT3PQ1(CauKho)_Song tra-750-tram nen" xfId="3645" xr:uid="{00000000-0005-0000-0000-0000000D0000}"/>
    <cellStyle name="_TG-TH_3_Song tra-750-tram nen" xfId="3646" xr:uid="{00000000-0005-0000-0000-0000010D0000}"/>
    <cellStyle name="_TG-TH_4" xfId="2281" xr:uid="{00000000-0005-0000-0000-0000020D0000}"/>
    <cellStyle name="_TG-TH_4_Du toan thay ong ep va da composite sua" xfId="3914" xr:uid="{00000000-0005-0000-0000-0000030D0000}"/>
    <cellStyle name="_TG-TH_4_Song tra-750-tram nen" xfId="3647" xr:uid="{00000000-0005-0000-0000-0000040D0000}"/>
    <cellStyle name="_TG-TH_Du toan thay ong ep va da composite sua" xfId="3915" xr:uid="{00000000-0005-0000-0000-0000050D0000}"/>
    <cellStyle name="_TG-TH_Song tra-750-tram nen" xfId="3648" xr:uid="{00000000-0005-0000-0000-0000060D0000}"/>
    <cellStyle name="_TONG KE GO DEN-GO THAO" xfId="2282" xr:uid="{00000000-0005-0000-0000-0000070D0000}"/>
    <cellStyle name="_TONG KE NP" xfId="3916" xr:uid="{00000000-0005-0000-0000-0000080D0000}"/>
    <cellStyle name="_TONG KE PRTC" xfId="3917" xr:uid="{00000000-0005-0000-0000-0000090D0000}"/>
    <cellStyle name="_Tong ke SCL bo sung 2007" xfId="2283" xr:uid="{00000000-0005-0000-0000-00000A0D0000}"/>
    <cellStyle name="_Tong ke sua chua DZ dke (xoa tong gd 2)-NLam 2 -Vtu" xfId="2284" xr:uid="{00000000-0005-0000-0000-00000B0D0000}"/>
    <cellStyle name="_Tong ke sua chua DZ dke (xoa tong gd 2)-NLam-Vtu" xfId="2285" xr:uid="{00000000-0005-0000-0000-00000C0D0000}"/>
    <cellStyle name="_Tong ke sua chua DZ dke (xoa tong gd 2)-VLam 1" xfId="2286" xr:uid="{00000000-0005-0000-0000-00000D0D0000}"/>
    <cellStyle name="_Tong ke sua chua DZ dke (xoa tong gd 2)-VLam 2" xfId="2287" xr:uid="{00000000-0005-0000-0000-00000E0D0000}"/>
    <cellStyle name="_tonno05" xfId="3918" xr:uid="{00000000-0005-0000-0000-00000F0D0000}"/>
    <cellStyle name="_Truong day nghe (20.1.06)" xfId="3649" xr:uid="{00000000-0005-0000-0000-0000100D0000}"/>
    <cellStyle name="_Truong day nghe (20.1.06) 2" xfId="3650" xr:uid="{00000000-0005-0000-0000-0000110D0000}"/>
    <cellStyle name="•W€_STDFOR" xfId="2288" xr:uid="{00000000-0005-0000-0000-0000120D0000}"/>
    <cellStyle name="W_STDFOR" xfId="3651" xr:uid="{00000000-0005-0000-0000-0000130D0000}"/>
    <cellStyle name="¹éºÐÀ²_      " xfId="2289" xr:uid="{00000000-0005-0000-0000-0000140D0000}"/>
    <cellStyle name="20% - Accent1" xfId="2290" builtinId="30" customBuiltin="1"/>
    <cellStyle name="20% - Accent1 2" xfId="2600" xr:uid="{00000000-0005-0000-0000-0000160D0000}"/>
    <cellStyle name="20% - Accent2" xfId="2291" builtinId="34" customBuiltin="1"/>
    <cellStyle name="20% - Accent2 2" xfId="2601" xr:uid="{00000000-0005-0000-0000-0000180D0000}"/>
    <cellStyle name="20% - Accent3" xfId="2292" builtinId="38" customBuiltin="1"/>
    <cellStyle name="20% - Accent3 2" xfId="2602" xr:uid="{00000000-0005-0000-0000-00001A0D0000}"/>
    <cellStyle name="20% - Accent4" xfId="2293" builtinId="42" customBuiltin="1"/>
    <cellStyle name="20% - Accent4 2" xfId="2603" xr:uid="{00000000-0005-0000-0000-00001C0D0000}"/>
    <cellStyle name="20% - Accent5" xfId="2294" builtinId="46" customBuiltin="1"/>
    <cellStyle name="20% - Accent5 2" xfId="2604" xr:uid="{00000000-0005-0000-0000-00001E0D0000}"/>
    <cellStyle name="20% - Accent6" xfId="2295" builtinId="50" customBuiltin="1"/>
    <cellStyle name="20% - Accent6 2" xfId="2605" xr:uid="{00000000-0005-0000-0000-0000200D0000}"/>
    <cellStyle name="25" xfId="2296" xr:uid="{00000000-0005-0000-0000-0000210D0000}"/>
    <cellStyle name="25 2" xfId="2659" xr:uid="{00000000-0005-0000-0000-0000220D0000}"/>
    <cellStyle name="25 3" xfId="3652" xr:uid="{00000000-0005-0000-0000-0000230D0000}"/>
    <cellStyle name="25 4" xfId="3653" xr:uid="{00000000-0005-0000-0000-0000240D0000}"/>
    <cellStyle name="40% - Accent1" xfId="2297" builtinId="31" customBuiltin="1"/>
    <cellStyle name="40% - Accent1 2" xfId="2606" xr:uid="{00000000-0005-0000-0000-0000260D0000}"/>
    <cellStyle name="40% - Accent2" xfId="2298" builtinId="35" customBuiltin="1"/>
    <cellStyle name="40% - Accent2 2" xfId="2607" xr:uid="{00000000-0005-0000-0000-0000280D0000}"/>
    <cellStyle name="40% - Accent3" xfId="2299" builtinId="39" customBuiltin="1"/>
    <cellStyle name="40% - Accent3 2" xfId="2608" xr:uid="{00000000-0005-0000-0000-00002A0D0000}"/>
    <cellStyle name="40% - Accent4" xfId="2300" builtinId="43" customBuiltin="1"/>
    <cellStyle name="40% - Accent4 2" xfId="2609" xr:uid="{00000000-0005-0000-0000-00002C0D0000}"/>
    <cellStyle name="40% - Accent5" xfId="2301" builtinId="47" customBuiltin="1"/>
    <cellStyle name="40% - Accent5 2" xfId="2610" xr:uid="{00000000-0005-0000-0000-00002E0D0000}"/>
    <cellStyle name="40% - Accent6" xfId="2302" builtinId="51" customBuiltin="1"/>
    <cellStyle name="40% - Accent6 2" xfId="2611" xr:uid="{00000000-0005-0000-0000-0000300D0000}"/>
    <cellStyle name="60% - Accent1" xfId="2303" builtinId="32" customBuiltin="1"/>
    <cellStyle name="60% - Accent1 2" xfId="2612" xr:uid="{00000000-0005-0000-0000-0000320D0000}"/>
    <cellStyle name="60% - Accent2" xfId="2304" builtinId="36" customBuiltin="1"/>
    <cellStyle name="60% - Accent2 2" xfId="2613" xr:uid="{00000000-0005-0000-0000-0000340D0000}"/>
    <cellStyle name="60% - Accent3" xfId="2305" builtinId="40" customBuiltin="1"/>
    <cellStyle name="60% - Accent3 2" xfId="2614" xr:uid="{00000000-0005-0000-0000-0000360D0000}"/>
    <cellStyle name="60% - Accent4" xfId="2306" builtinId="44" customBuiltin="1"/>
    <cellStyle name="60% - Accent4 2" xfId="2615" xr:uid="{00000000-0005-0000-0000-0000380D0000}"/>
    <cellStyle name="60% - Accent5" xfId="2307" builtinId="48" customBuiltin="1"/>
    <cellStyle name="60% - Accent5 2" xfId="2616" xr:uid="{00000000-0005-0000-0000-00003A0D0000}"/>
    <cellStyle name="60% - Accent6" xfId="2308" builtinId="52" customBuiltin="1"/>
    <cellStyle name="60% - Accent6 2" xfId="2617" xr:uid="{00000000-0005-0000-0000-00003C0D0000}"/>
    <cellStyle name="Accent1" xfId="2309" builtinId="29" customBuiltin="1"/>
    <cellStyle name="Accent1 2" xfId="2618" xr:uid="{00000000-0005-0000-0000-00003E0D0000}"/>
    <cellStyle name="Accent2" xfId="2310" builtinId="33" customBuiltin="1"/>
    <cellStyle name="Accent2 2" xfId="2619" xr:uid="{00000000-0005-0000-0000-0000400D0000}"/>
    <cellStyle name="Accent3" xfId="2311" builtinId="37" customBuiltin="1"/>
    <cellStyle name="Accent3 2" xfId="2620" xr:uid="{00000000-0005-0000-0000-0000420D0000}"/>
    <cellStyle name="Accent4" xfId="2312" builtinId="41" customBuiltin="1"/>
    <cellStyle name="Accent4 2" xfId="2621" xr:uid="{00000000-0005-0000-0000-0000440D0000}"/>
    <cellStyle name="Accent5" xfId="2313" builtinId="45" customBuiltin="1"/>
    <cellStyle name="Accent5 2" xfId="2622" xr:uid="{00000000-0005-0000-0000-0000460D0000}"/>
    <cellStyle name="Accent6" xfId="2314" builtinId="49" customBuiltin="1"/>
    <cellStyle name="Accent6 2" xfId="2623" xr:uid="{00000000-0005-0000-0000-0000480D0000}"/>
    <cellStyle name="ÅëÈ­ [0]_      " xfId="2315" xr:uid="{00000000-0005-0000-0000-0000490D0000}"/>
    <cellStyle name="AeE­ [0]_INQUIRY ¿?¾÷AßAø " xfId="2316" xr:uid="{00000000-0005-0000-0000-00004A0D0000}"/>
    <cellStyle name="ÅëÈ­ [0]_L601CPT" xfId="2317" xr:uid="{00000000-0005-0000-0000-00004B0D0000}"/>
    <cellStyle name="ÅëÈ­_      " xfId="2318" xr:uid="{00000000-0005-0000-0000-00004C0D0000}"/>
    <cellStyle name="AeE­_INQUIRY ¿?¾÷AßAø " xfId="2319" xr:uid="{00000000-0005-0000-0000-00004D0D0000}"/>
    <cellStyle name="ÅëÈ­_L601CPT" xfId="2320" xr:uid="{00000000-0005-0000-0000-00004E0D0000}"/>
    <cellStyle name="ÄÞ¸¶ [0]_      " xfId="2321" xr:uid="{00000000-0005-0000-0000-00004F0D0000}"/>
    <cellStyle name="AÞ¸¶ [0]_INQUIRY ¿?¾÷AßAø " xfId="2322" xr:uid="{00000000-0005-0000-0000-0000500D0000}"/>
    <cellStyle name="ÄÞ¸¶ [0]_L601CPT" xfId="2323" xr:uid="{00000000-0005-0000-0000-0000510D0000}"/>
    <cellStyle name="ÄÞ¸¶_      " xfId="2324" xr:uid="{00000000-0005-0000-0000-0000520D0000}"/>
    <cellStyle name="AÞ¸¶_INQUIRY ¿?¾÷AßAø " xfId="2325" xr:uid="{00000000-0005-0000-0000-0000530D0000}"/>
    <cellStyle name="ÄÞ¸¶_L601CPT" xfId="2326" xr:uid="{00000000-0005-0000-0000-0000540D0000}"/>
    <cellStyle name="AutoFormat Options" xfId="2327" xr:uid="{00000000-0005-0000-0000-0000550D0000}"/>
    <cellStyle name="Bad" xfId="2328" builtinId="27" customBuiltin="1"/>
    <cellStyle name="Bad 2" xfId="2624" xr:uid="{00000000-0005-0000-0000-0000570D0000}"/>
    <cellStyle name="C?AØ_¿?¾÷CoE² " xfId="2329" xr:uid="{00000000-0005-0000-0000-0000580D0000}"/>
    <cellStyle name="Ç¥ÁØ_      " xfId="2330" xr:uid="{00000000-0005-0000-0000-0000590D0000}"/>
    <cellStyle name="C￥AØ_¿μ¾÷CoE² " xfId="2331" xr:uid="{00000000-0005-0000-0000-00005A0D0000}"/>
    <cellStyle name="Ç¥ÁØ_±¸¹Ì´ëÃ¥" xfId="2332" xr:uid="{00000000-0005-0000-0000-00005B0D0000}"/>
    <cellStyle name="Calculation" xfId="2333" builtinId="22" customBuiltin="1"/>
    <cellStyle name="Calculation 2" xfId="2625" xr:uid="{00000000-0005-0000-0000-00005D0D0000}"/>
    <cellStyle name="category" xfId="2334" xr:uid="{00000000-0005-0000-0000-00005E0D0000}"/>
    <cellStyle name="Cerrency_Sheet2_XANGDAU" xfId="2335" xr:uid="{00000000-0005-0000-0000-00005F0D0000}"/>
    <cellStyle name="Check Cell" xfId="2336" builtinId="23" customBuiltin="1"/>
    <cellStyle name="Check Cell 2" xfId="2626" xr:uid="{00000000-0005-0000-0000-0000610D0000}"/>
    <cellStyle name="CHUONG" xfId="2337" xr:uid="{00000000-0005-0000-0000-0000620D0000}"/>
    <cellStyle name="Comma" xfId="2338" builtinId="3"/>
    <cellStyle name="Comma 160" xfId="3919" xr:uid="{00000000-0005-0000-0000-0000640D0000}"/>
    <cellStyle name="Comma 2" xfId="2339" xr:uid="{00000000-0005-0000-0000-0000650D0000}"/>
    <cellStyle name="Comma 2 2" xfId="2340" xr:uid="{00000000-0005-0000-0000-0000660D0000}"/>
    <cellStyle name="Comma 2 2 2" xfId="2694" xr:uid="{00000000-0005-0000-0000-0000670D0000}"/>
    <cellStyle name="Comma 2 3" xfId="2628" xr:uid="{00000000-0005-0000-0000-0000680D0000}"/>
    <cellStyle name="Comma 3" xfId="2597" xr:uid="{00000000-0005-0000-0000-0000690D0000}"/>
    <cellStyle name="Comma 3 2" xfId="3654" xr:uid="{00000000-0005-0000-0000-00006A0D0000}"/>
    <cellStyle name="Comma 3 3" xfId="3920" xr:uid="{00000000-0005-0000-0000-00006B0D0000}"/>
    <cellStyle name="Comma 4" xfId="2627" xr:uid="{00000000-0005-0000-0000-00006C0D0000}"/>
    <cellStyle name="Comma 4 2" xfId="3655" xr:uid="{00000000-0005-0000-0000-00006D0D0000}"/>
    <cellStyle name="Comma 4 3" xfId="3921" xr:uid="{00000000-0005-0000-0000-00006E0D0000}"/>
    <cellStyle name="Comma 5" xfId="2650" xr:uid="{00000000-0005-0000-0000-00006F0D0000}"/>
    <cellStyle name="Comma 5 2" xfId="2675" xr:uid="{00000000-0005-0000-0000-0000700D0000}"/>
    <cellStyle name="Comma 5 3" xfId="2695" xr:uid="{00000000-0005-0000-0000-0000710D0000}"/>
    <cellStyle name="Comma_Sheet2_1" xfId="2341" xr:uid="{00000000-0005-0000-0000-0000720D0000}"/>
    <cellStyle name="Comma0" xfId="2342" xr:uid="{00000000-0005-0000-0000-0000730D0000}"/>
    <cellStyle name="Co聭ma_Sheet1" xfId="2343" xr:uid="{00000000-0005-0000-0000-0000740D0000}"/>
    <cellStyle name="Currency0" xfId="2344" xr:uid="{00000000-0005-0000-0000-0000750D0000}"/>
    <cellStyle name="Cma딹7Èڸñ_97È¸ºñ (2)_1¿ùÈ¸ºñ³»¿ª (2)" xfId="3656" xr:uid="{00000000-0005-0000-0000-0000760D0000}"/>
    <cellStyle name="D1CS" xfId="2345" xr:uid="{00000000-0005-0000-0000-0000770D0000}"/>
    <cellStyle name="D2CS" xfId="2346" xr:uid="{00000000-0005-0000-0000-0000780D0000}"/>
    <cellStyle name="Date" xfId="2347" xr:uid="{00000000-0005-0000-0000-0000790D0000}"/>
    <cellStyle name="Dezimal [0]_UXO VII" xfId="2348" xr:uid="{00000000-0005-0000-0000-00007A0D0000}"/>
    <cellStyle name="Dezimal_UXO VII" xfId="2349" xr:uid="{00000000-0005-0000-0000-00007B0D0000}"/>
    <cellStyle name="Explanatory Text" xfId="2350" builtinId="53" customBuiltin="1"/>
    <cellStyle name="Explanatory Text 2" xfId="2629" xr:uid="{00000000-0005-0000-0000-00007D0D0000}"/>
    <cellStyle name="F2" xfId="3657" xr:uid="{00000000-0005-0000-0000-00007E0D0000}"/>
    <cellStyle name="F3" xfId="3658" xr:uid="{00000000-0005-0000-0000-00007F0D0000}"/>
    <cellStyle name="F4" xfId="3659" xr:uid="{00000000-0005-0000-0000-0000800D0000}"/>
    <cellStyle name="F5" xfId="3660" xr:uid="{00000000-0005-0000-0000-0000810D0000}"/>
    <cellStyle name="F6" xfId="3661" xr:uid="{00000000-0005-0000-0000-0000820D0000}"/>
    <cellStyle name="F7" xfId="3662" xr:uid="{00000000-0005-0000-0000-0000830D0000}"/>
    <cellStyle name="F8" xfId="3663" xr:uid="{00000000-0005-0000-0000-0000840D0000}"/>
    <cellStyle name="Fixed" xfId="2351" xr:uid="{00000000-0005-0000-0000-0000850D0000}"/>
    <cellStyle name="Good" xfId="2352" builtinId="26" customBuiltin="1"/>
    <cellStyle name="Good 2" xfId="2630" xr:uid="{00000000-0005-0000-0000-0000870D0000}"/>
    <cellStyle name="Grey" xfId="2353" xr:uid="{00000000-0005-0000-0000-0000880D0000}"/>
    <cellStyle name="HEADER" xfId="2354" xr:uid="{00000000-0005-0000-0000-0000890D0000}"/>
    <cellStyle name="Header1" xfId="2355" xr:uid="{00000000-0005-0000-0000-00008A0D0000}"/>
    <cellStyle name="Header2" xfId="2356" xr:uid="{00000000-0005-0000-0000-00008B0D0000}"/>
    <cellStyle name="Heading 1" xfId="2357" builtinId="16" customBuiltin="1"/>
    <cellStyle name="Heading 1 2" xfId="2631" xr:uid="{00000000-0005-0000-0000-00008D0D0000}"/>
    <cellStyle name="Heading 2" xfId="2358" builtinId="17" customBuiltin="1"/>
    <cellStyle name="Heading 2 2" xfId="2632" xr:uid="{00000000-0005-0000-0000-00008F0D0000}"/>
    <cellStyle name="Heading 3" xfId="2359" builtinId="18" customBuiltin="1"/>
    <cellStyle name="Heading 3 2" xfId="2633" xr:uid="{00000000-0005-0000-0000-0000910D0000}"/>
    <cellStyle name="Heading 4" xfId="2360" builtinId="19" customBuiltin="1"/>
    <cellStyle name="Heading 4 2" xfId="2634" xr:uid="{00000000-0005-0000-0000-0000930D0000}"/>
    <cellStyle name="Heading1" xfId="2361" xr:uid="{00000000-0005-0000-0000-0000940D0000}"/>
    <cellStyle name="Heading1 1" xfId="3664" xr:uid="{00000000-0005-0000-0000-0000950D0000}"/>
    <cellStyle name="Heading2" xfId="2362" xr:uid="{00000000-0005-0000-0000-0000960D0000}"/>
    <cellStyle name="i·0" xfId="2363" xr:uid="{00000000-0005-0000-0000-0000970D0000}"/>
    <cellStyle name="i·0??????????_x0003_?_x0010__x0001_??Luu??9JS—_x0008_??????????????????ò_x0001_????&lt;i·0???" xfId="3665" xr:uid="{00000000-0005-0000-0000-0000980D0000}"/>
    <cellStyle name="i·0??????????_x0003_?_x0010__x0001_??Luu??9JS—_x0008_??????????????????ò_x0001_????&lt;i·0??? 2" xfId="3922" xr:uid="{00000000-0005-0000-0000-0000990D0000}"/>
    <cellStyle name="i·0??????????_x0007_?_x0010__x0001_??PrintDT??9JS—_x0008_??????????????????¼_x0001_????&lt;i·" xfId="3666" xr:uid="{00000000-0005-0000-0000-00009A0D0000}"/>
    <cellStyle name="i·0??????????_x0007_?_x0010__x0001_??PrintDT??9JS—_x0008_??????????????????¼_x0001_????&lt;i· 2" xfId="3923" xr:uid="{00000000-0005-0000-0000-00009B0D0000}"/>
    <cellStyle name="i·0_du toan " xfId="3667" xr:uid="{00000000-0005-0000-0000-00009C0D0000}"/>
    <cellStyle name="Input" xfId="2364" builtinId="20" customBuiltin="1"/>
    <cellStyle name="Input [yellow]" xfId="2365" xr:uid="{00000000-0005-0000-0000-00009E0D0000}"/>
    <cellStyle name="Input 2" xfId="2635" xr:uid="{00000000-0005-0000-0000-00009F0D0000}"/>
    <cellStyle name="KH.NEO" xfId="2366" xr:uid="{00000000-0005-0000-0000-0000A00D0000}"/>
    <cellStyle name="Line" xfId="2367" xr:uid="{00000000-0005-0000-0000-0000A10D0000}"/>
    <cellStyle name="Linked Cell" xfId="2368" builtinId="24" customBuiltin="1"/>
    <cellStyle name="Linked Cell 2" xfId="2636" xr:uid="{00000000-0005-0000-0000-0000A30D0000}"/>
    <cellStyle name="Milliers [0]_AR1194" xfId="3668" xr:uid="{00000000-0005-0000-0000-0000A40D0000}"/>
    <cellStyle name="Milliers_AR1194" xfId="3669" xr:uid="{00000000-0005-0000-0000-0000A50D0000}"/>
    <cellStyle name="MO" xfId="2369" xr:uid="{00000000-0005-0000-0000-0000A60D0000}"/>
    <cellStyle name="Model" xfId="2370" xr:uid="{00000000-0005-0000-0000-0000A70D0000}"/>
    <cellStyle name="Monétaire [0]_AR1194" xfId="3670" xr:uid="{00000000-0005-0000-0000-0000A80D0000}"/>
    <cellStyle name="Monétaire_AR1194" xfId="3671" xr:uid="{00000000-0005-0000-0000-0000A90D0000}"/>
    <cellStyle name="n" xfId="3672" xr:uid="{00000000-0005-0000-0000-0000AA0D0000}"/>
    <cellStyle name="NEO" xfId="2371" xr:uid="{00000000-0005-0000-0000-0000AB0D0000}"/>
    <cellStyle name="Neutral" xfId="2372" builtinId="28" customBuiltin="1"/>
    <cellStyle name="Neutral 2" xfId="2637" xr:uid="{00000000-0005-0000-0000-0000AD0D0000}"/>
    <cellStyle name="ÑONVÒ" xfId="2373" xr:uid="{00000000-0005-0000-0000-0000AE0D0000}"/>
    <cellStyle name="Normal" xfId="0" builtinId="0"/>
    <cellStyle name="Normal - Style1" xfId="2374" xr:uid="{00000000-0005-0000-0000-0000B00D0000}"/>
    <cellStyle name="Normal - Style1 2" xfId="3673" xr:uid="{00000000-0005-0000-0000-0000B10D0000}"/>
    <cellStyle name="Normal 10" xfId="2651" xr:uid="{00000000-0005-0000-0000-0000B20D0000}"/>
    <cellStyle name="Normal 10 2" xfId="2660" xr:uid="{00000000-0005-0000-0000-0000B30D0000}"/>
    <cellStyle name="Normal 10 2 2" xfId="2682" xr:uid="{00000000-0005-0000-0000-0000B40D0000}"/>
    <cellStyle name="Normal 10 3" xfId="2676" xr:uid="{00000000-0005-0000-0000-0000B50D0000}"/>
    <cellStyle name="Normal 11" xfId="2652" xr:uid="{00000000-0005-0000-0000-0000B60D0000}"/>
    <cellStyle name="Normal 11 2" xfId="2661" xr:uid="{00000000-0005-0000-0000-0000B70D0000}"/>
    <cellStyle name="Normal 11 2 2" xfId="2683" xr:uid="{00000000-0005-0000-0000-0000B80D0000}"/>
    <cellStyle name="Normal 11 3" xfId="2677" xr:uid="{00000000-0005-0000-0000-0000B90D0000}"/>
    <cellStyle name="Normal 11 4" xfId="3924" xr:uid="{00000000-0005-0000-0000-0000BA0D0000}"/>
    <cellStyle name="Normal 12" xfId="2653" xr:uid="{00000000-0005-0000-0000-0000BB0D0000}"/>
    <cellStyle name="Normal 12 2" xfId="2662" xr:uid="{00000000-0005-0000-0000-0000BC0D0000}"/>
    <cellStyle name="Normal 12 2 2" xfId="2684" xr:uid="{00000000-0005-0000-0000-0000BD0D0000}"/>
    <cellStyle name="Normal 12 3" xfId="2678" xr:uid="{00000000-0005-0000-0000-0000BE0D0000}"/>
    <cellStyle name="Normal 13" xfId="2649" xr:uid="{00000000-0005-0000-0000-0000BF0D0000}"/>
    <cellStyle name="Normal 14" xfId="2654" xr:uid="{00000000-0005-0000-0000-0000C00D0000}"/>
    <cellStyle name="Normal 14 2 2" xfId="4101" xr:uid="{504784FA-0D36-4918-BF49-B449F9E43AC7}"/>
    <cellStyle name="Normal 15" xfId="2648" xr:uid="{00000000-0005-0000-0000-0000C10D0000}"/>
    <cellStyle name="Normal 16" xfId="2658" xr:uid="{00000000-0005-0000-0000-0000C20D0000}"/>
    <cellStyle name="Normal 17" xfId="2671" xr:uid="{00000000-0005-0000-0000-0000C30D0000}"/>
    <cellStyle name="Normal 172" xfId="4096" xr:uid="{00000000-0005-0000-0000-0000C40D0000}"/>
    <cellStyle name="Normal 18" xfId="2674" xr:uid="{00000000-0005-0000-0000-0000C50D0000}"/>
    <cellStyle name="Normal 19" xfId="2672" xr:uid="{00000000-0005-0000-0000-0000C60D0000}"/>
    <cellStyle name="Normal 2" xfId="2375" xr:uid="{00000000-0005-0000-0000-0000C70D0000}"/>
    <cellStyle name="Normal 2 2" xfId="2638" xr:uid="{00000000-0005-0000-0000-0000C80D0000}"/>
    <cellStyle name="Normal 2 3" xfId="2663" xr:uid="{00000000-0005-0000-0000-0000C90D0000}"/>
    <cellStyle name="Normal 2 3 2" xfId="2685" xr:uid="{00000000-0005-0000-0000-0000CA0D0000}"/>
    <cellStyle name="Normal 2 4" xfId="3925" xr:uid="{00000000-0005-0000-0000-0000CB0D0000}"/>
    <cellStyle name="Normal 20" xfId="2673" xr:uid="{00000000-0005-0000-0000-0000CC0D0000}"/>
    <cellStyle name="Normal 21" xfId="2693" xr:uid="{00000000-0005-0000-0000-0000CD0D0000}"/>
    <cellStyle name="Normal 22" xfId="3813" xr:uid="{00000000-0005-0000-0000-0000CE0D0000}"/>
    <cellStyle name="Normal 23" xfId="4081" xr:uid="{00000000-0005-0000-0000-0000CF0D0000}"/>
    <cellStyle name="Normal 24" xfId="4082" xr:uid="{00000000-0005-0000-0000-0000D00D0000}"/>
    <cellStyle name="Normal 25" xfId="4083" xr:uid="{00000000-0005-0000-0000-0000D10D0000}"/>
    <cellStyle name="Normal 26" xfId="4084" xr:uid="{00000000-0005-0000-0000-0000D20D0000}"/>
    <cellStyle name="Normal 27" xfId="4085" xr:uid="{00000000-0005-0000-0000-0000D30D0000}"/>
    <cellStyle name="Normal 28" xfId="4086" xr:uid="{00000000-0005-0000-0000-0000D40D0000}"/>
    <cellStyle name="Normal 29" xfId="4087" xr:uid="{00000000-0005-0000-0000-0000D50D0000}"/>
    <cellStyle name="Normal 3" xfId="2376" xr:uid="{00000000-0005-0000-0000-0000D60D0000}"/>
    <cellStyle name="Normal 3 2" xfId="2639" xr:uid="{00000000-0005-0000-0000-0000D70D0000}"/>
    <cellStyle name="Normal 3 2 2" xfId="4100" xr:uid="{B005FABA-146F-46C1-A85C-2EC2ED6BD396}"/>
    <cellStyle name="Normal 3 3" xfId="2664" xr:uid="{00000000-0005-0000-0000-0000D80D0000}"/>
    <cellStyle name="Normal 3 3 2" xfId="2686" xr:uid="{00000000-0005-0000-0000-0000D90D0000}"/>
    <cellStyle name="Normal 3 4" xfId="3926" xr:uid="{00000000-0005-0000-0000-0000DA0D0000}"/>
    <cellStyle name="Normal 30" xfId="4088" xr:uid="{00000000-0005-0000-0000-0000DB0D0000}"/>
    <cellStyle name="Normal 31" xfId="4089" xr:uid="{00000000-0005-0000-0000-0000DC0D0000}"/>
    <cellStyle name="Normal 35" xfId="4098" xr:uid="{8D856D69-B52B-4940-A243-5EC324A851A0}"/>
    <cellStyle name="Normal 37" xfId="4099" xr:uid="{F19BF9C9-15C9-4991-80BA-D503EF0EB059}"/>
    <cellStyle name="Normal 4" xfId="2596" xr:uid="{00000000-0005-0000-0000-0000DD0D0000}"/>
    <cellStyle name="Normal 4 2" xfId="2665" xr:uid="{00000000-0005-0000-0000-0000DE0D0000}"/>
    <cellStyle name="Normal 4 2 2" xfId="2687" xr:uid="{00000000-0005-0000-0000-0000DF0D0000}"/>
    <cellStyle name="Normal 4 3" xfId="3927" xr:uid="{00000000-0005-0000-0000-0000E00D0000}"/>
    <cellStyle name="Normal 4 3 2" xfId="4097" xr:uid="{00000000-0005-0000-0000-0000E10D0000}"/>
    <cellStyle name="Normal 5" xfId="2599" xr:uid="{00000000-0005-0000-0000-0000E20D0000}"/>
    <cellStyle name="Normal 5 2" xfId="2666" xr:uid="{00000000-0005-0000-0000-0000E30D0000}"/>
    <cellStyle name="Normal 5 2 2" xfId="2688" xr:uid="{00000000-0005-0000-0000-0000E40D0000}"/>
    <cellStyle name="Normal 5 3" xfId="3928" xr:uid="{00000000-0005-0000-0000-0000E50D0000}"/>
    <cellStyle name="Normal 6" xfId="2598" xr:uid="{00000000-0005-0000-0000-0000E60D0000}"/>
    <cellStyle name="Normal 6 2" xfId="2667" xr:uid="{00000000-0005-0000-0000-0000E70D0000}"/>
    <cellStyle name="Normal 6 2 2" xfId="2689" xr:uid="{00000000-0005-0000-0000-0000E80D0000}"/>
    <cellStyle name="Normal 7" xfId="2655" xr:uid="{00000000-0005-0000-0000-0000E90D0000}"/>
    <cellStyle name="Normal 7 2" xfId="2668" xr:uid="{00000000-0005-0000-0000-0000EA0D0000}"/>
    <cellStyle name="Normal 7 2 2" xfId="2690" xr:uid="{00000000-0005-0000-0000-0000EB0D0000}"/>
    <cellStyle name="Normal 7 3" xfId="2679" xr:uid="{00000000-0005-0000-0000-0000EC0D0000}"/>
    <cellStyle name="Normal 8" xfId="2656" xr:uid="{00000000-0005-0000-0000-0000ED0D0000}"/>
    <cellStyle name="Normal 8 2" xfId="2669" xr:uid="{00000000-0005-0000-0000-0000EE0D0000}"/>
    <cellStyle name="Normal 8 2 2" xfId="2691" xr:uid="{00000000-0005-0000-0000-0000EF0D0000}"/>
    <cellStyle name="Normal 8 3" xfId="2680" xr:uid="{00000000-0005-0000-0000-0000F00D0000}"/>
    <cellStyle name="Normal 9" xfId="2657" xr:uid="{00000000-0005-0000-0000-0000F10D0000}"/>
    <cellStyle name="Normal 9 2" xfId="2670" xr:uid="{00000000-0005-0000-0000-0000F20D0000}"/>
    <cellStyle name="Normal 9 2 2" xfId="2692" xr:uid="{00000000-0005-0000-0000-0000F30D0000}"/>
    <cellStyle name="Normal 9 3" xfId="2681" xr:uid="{00000000-0005-0000-0000-0000F40D0000}"/>
    <cellStyle name="Normal_Cap nuoc Thai An" xfId="2646" xr:uid="{00000000-0005-0000-0000-0000F60D0000}"/>
    <cellStyle name="Normal_chitiet 2" xfId="2377" xr:uid="{00000000-0005-0000-0000-0000F70D0000}"/>
    <cellStyle name="Normal_chitiet_Du toan thay ong ep va da composite sua" xfId="4090" xr:uid="{00000000-0005-0000-0000-0000F80D0000}"/>
    <cellStyle name="Normal_dau thau phan rang dz va tram" xfId="2378" xr:uid="{00000000-0005-0000-0000-0000F90D0000}"/>
    <cellStyle name="Normal_ho Cho Mo" xfId="4094" xr:uid="{00000000-0005-0000-0000-0000FB0D0000}"/>
    <cellStyle name="Normal_Khu dan cu Thap Cham  sua moi" xfId="2379" xr:uid="{00000000-0005-0000-0000-0000FC0D0000}"/>
    <cellStyle name="Normal_Khu TDC Song Trau 2" xfId="4092" xr:uid="{00000000-0005-0000-0000-0000FD0D0000}"/>
    <cellStyle name="Normal_ntrang" xfId="2380" xr:uid="{00000000-0005-0000-0000-0000FE0D0000}"/>
    <cellStyle name="Normal_PHUOC HUU HC 2" xfId="4093" xr:uid="{00000000-0005-0000-0000-0000FF0D0000}"/>
    <cellStyle name="Normal_Sheet2_1" xfId="2381" xr:uid="{00000000-0005-0000-0000-0000000E0000}"/>
    <cellStyle name="Normal_Sheet2_1 2" xfId="4102" xr:uid="{126124ED-659C-46A0-BB92-A189F93EF6FB}"/>
    <cellStyle name="Normal_TDAYLS 573" xfId="2382" xr:uid="{00000000-0005-0000-0000-0000010E0000}"/>
    <cellStyle name="Normal_TH-HIEUCHINH" xfId="4103" xr:uid="{94A02852-CE23-4DC4-84F5-06281CEF2365}"/>
    <cellStyle name="Normal_THPDMoi " xfId="2383" xr:uid="{00000000-0005-0000-0000-0000020E0000}"/>
    <cellStyle name="Normal_Thu hoi Phuoc Tan 2 2" xfId="2645" xr:uid="{00000000-0005-0000-0000-0000030E0000}"/>
    <cellStyle name="Normal_tluong" xfId="2384" xr:uid="{00000000-0005-0000-0000-0000040E0000}"/>
    <cellStyle name="Normal_TOMHANH" xfId="2647" xr:uid="{00000000-0005-0000-0000-0000050E0000}"/>
    <cellStyle name="Normal_TONG KE NP" xfId="2385" xr:uid="{00000000-0005-0000-0000-0000060E0000}"/>
    <cellStyle name="Normal_Tong ke SCL bo sung 2007" xfId="2386" xr:uid="{00000000-0005-0000-0000-0000070E0000}"/>
    <cellStyle name="Normal_vc 2" xfId="2387" xr:uid="{00000000-0005-0000-0000-0000080E0000}"/>
    <cellStyle name="Normal_VC 3" xfId="4091" xr:uid="{00000000-0005-0000-0000-0000090E0000}"/>
    <cellStyle name="Normal_Vinh Trach Dong(hc)" xfId="4095" xr:uid="{00000000-0005-0000-0000-00000A0E0000}"/>
    <cellStyle name="Note" xfId="2388" builtinId="10" customBuiltin="1"/>
    <cellStyle name="Note 2" xfId="2640" xr:uid="{00000000-0005-0000-0000-00000C0E0000}"/>
    <cellStyle name="omma [0]_Mktg Prog" xfId="2389" xr:uid="{00000000-0005-0000-0000-00000D0E0000}"/>
    <cellStyle name="ormal_Sheet1_1" xfId="2390" xr:uid="{00000000-0005-0000-0000-00000E0E0000}"/>
    <cellStyle name="Output" xfId="2391" builtinId="21" customBuiltin="1"/>
    <cellStyle name="Output 2" xfId="2641" xr:uid="{00000000-0005-0000-0000-0000100E0000}"/>
    <cellStyle name="Percent [2]" xfId="2392" xr:uid="{00000000-0005-0000-0000-0000110E0000}"/>
    <cellStyle name="Percent [2] 2" xfId="2393" xr:uid="{00000000-0005-0000-0000-0000120E0000}"/>
    <cellStyle name="PERCENTAGE" xfId="3674" xr:uid="{00000000-0005-0000-0000-0000130E0000}"/>
    <cellStyle name="RedComma[0]" xfId="2394" xr:uid="{00000000-0005-0000-0000-0000140E0000}"/>
    <cellStyle name="S—_x0008_" xfId="2395" xr:uid="{00000000-0005-0000-0000-0000150E0000}"/>
    <cellStyle name="S—_x0008_??????????????????‚_x0001_????&lt;i·0??????????_x0007_?_x0010__x0001_??PrintDT??9JS—_x0008_?????????????" xfId="3675" xr:uid="{00000000-0005-0000-0000-0000160E0000}"/>
    <cellStyle name="S—_x0008_??????????????????‚_x0001_????&lt;i·0??????????_x0007_?_x0010__x0001_??PrintDT??9JS—_x0008_????????????? 2" xfId="3929" xr:uid="{00000000-0005-0000-0000-0000170E0000}"/>
    <cellStyle name="S—_x0008__du toan " xfId="3676" xr:uid="{00000000-0005-0000-0000-0000180E0000}"/>
    <cellStyle name="Standard_KALK-054" xfId="2396" xr:uid="{00000000-0005-0000-0000-0000190E0000}"/>
    <cellStyle name="Style 1" xfId="2397" xr:uid="{00000000-0005-0000-0000-00001A0E0000}"/>
    <cellStyle name="Style 1 2" xfId="2696" xr:uid="{00000000-0005-0000-0000-00001B0E0000}"/>
    <cellStyle name="Style 1 2 2" xfId="3677" xr:uid="{00000000-0005-0000-0000-00001C0E0000}"/>
    <cellStyle name="Style 1 3" xfId="3678" xr:uid="{00000000-0005-0000-0000-00001D0E0000}"/>
    <cellStyle name="Style 1 3 2" xfId="3679" xr:uid="{00000000-0005-0000-0000-00001E0E0000}"/>
    <cellStyle name="Style 1_du toan " xfId="3680" xr:uid="{00000000-0005-0000-0000-00001F0E0000}"/>
    <cellStyle name="Style 10" xfId="2398" xr:uid="{00000000-0005-0000-0000-0000200E0000}"/>
    <cellStyle name="Style 100" xfId="2399" xr:uid="{00000000-0005-0000-0000-0000210E0000}"/>
    <cellStyle name="Style 100 2" xfId="3930" xr:uid="{00000000-0005-0000-0000-0000220E0000}"/>
    <cellStyle name="Style 101" xfId="2400" xr:uid="{00000000-0005-0000-0000-0000230E0000}"/>
    <cellStyle name="Style 101 2" xfId="3931" xr:uid="{00000000-0005-0000-0000-0000240E0000}"/>
    <cellStyle name="Style 102" xfId="2401" xr:uid="{00000000-0005-0000-0000-0000250E0000}"/>
    <cellStyle name="Style 102 2" xfId="3932" xr:uid="{00000000-0005-0000-0000-0000260E0000}"/>
    <cellStyle name="Style 103" xfId="2402" xr:uid="{00000000-0005-0000-0000-0000270E0000}"/>
    <cellStyle name="Style 103 2" xfId="3933" xr:uid="{00000000-0005-0000-0000-0000280E0000}"/>
    <cellStyle name="Style 104" xfId="2403" xr:uid="{00000000-0005-0000-0000-0000290E0000}"/>
    <cellStyle name="Style 104 2" xfId="3934" xr:uid="{00000000-0005-0000-0000-00002A0E0000}"/>
    <cellStyle name="Style 105" xfId="2404" xr:uid="{00000000-0005-0000-0000-00002B0E0000}"/>
    <cellStyle name="Style 105 2" xfId="3935" xr:uid="{00000000-0005-0000-0000-00002C0E0000}"/>
    <cellStyle name="Style 106" xfId="2405" xr:uid="{00000000-0005-0000-0000-00002D0E0000}"/>
    <cellStyle name="Style 106 2" xfId="3936" xr:uid="{00000000-0005-0000-0000-00002E0E0000}"/>
    <cellStyle name="Style 107" xfId="2406" xr:uid="{00000000-0005-0000-0000-00002F0E0000}"/>
    <cellStyle name="Style 107 2" xfId="3937" xr:uid="{00000000-0005-0000-0000-0000300E0000}"/>
    <cellStyle name="Style 108" xfId="2407" xr:uid="{00000000-0005-0000-0000-0000310E0000}"/>
    <cellStyle name="Style 108 2" xfId="3938" xr:uid="{00000000-0005-0000-0000-0000320E0000}"/>
    <cellStyle name="Style 109" xfId="2408" xr:uid="{00000000-0005-0000-0000-0000330E0000}"/>
    <cellStyle name="Style 109 2" xfId="3939" xr:uid="{00000000-0005-0000-0000-0000340E0000}"/>
    <cellStyle name="Style 11" xfId="2409" xr:uid="{00000000-0005-0000-0000-0000350E0000}"/>
    <cellStyle name="Style 11 2" xfId="3940" xr:uid="{00000000-0005-0000-0000-0000360E0000}"/>
    <cellStyle name="Style 110" xfId="2410" xr:uid="{00000000-0005-0000-0000-0000370E0000}"/>
    <cellStyle name="Style 110 2" xfId="3941" xr:uid="{00000000-0005-0000-0000-0000380E0000}"/>
    <cellStyle name="Style 111" xfId="2411" xr:uid="{00000000-0005-0000-0000-0000390E0000}"/>
    <cellStyle name="Style 111 2" xfId="3942" xr:uid="{00000000-0005-0000-0000-00003A0E0000}"/>
    <cellStyle name="Style 112" xfId="2412" xr:uid="{00000000-0005-0000-0000-00003B0E0000}"/>
    <cellStyle name="Style 112 2" xfId="3943" xr:uid="{00000000-0005-0000-0000-00003C0E0000}"/>
    <cellStyle name="Style 113" xfId="2413" xr:uid="{00000000-0005-0000-0000-00003D0E0000}"/>
    <cellStyle name="Style 113 2" xfId="3944" xr:uid="{00000000-0005-0000-0000-00003E0E0000}"/>
    <cellStyle name="Style 114" xfId="2414" xr:uid="{00000000-0005-0000-0000-00003F0E0000}"/>
    <cellStyle name="Style 114 2" xfId="3945" xr:uid="{00000000-0005-0000-0000-0000400E0000}"/>
    <cellStyle name="Style 115" xfId="2415" xr:uid="{00000000-0005-0000-0000-0000410E0000}"/>
    <cellStyle name="Style 116" xfId="2416" xr:uid="{00000000-0005-0000-0000-0000420E0000}"/>
    <cellStyle name="Style 116 2" xfId="3946" xr:uid="{00000000-0005-0000-0000-0000430E0000}"/>
    <cellStyle name="Style 117" xfId="2417" xr:uid="{00000000-0005-0000-0000-0000440E0000}"/>
    <cellStyle name="Style 118" xfId="2418" xr:uid="{00000000-0005-0000-0000-0000450E0000}"/>
    <cellStyle name="Style 118 2" xfId="3947" xr:uid="{00000000-0005-0000-0000-0000460E0000}"/>
    <cellStyle name="Style 119" xfId="2419" xr:uid="{00000000-0005-0000-0000-0000470E0000}"/>
    <cellStyle name="Style 119 2" xfId="3948" xr:uid="{00000000-0005-0000-0000-0000480E0000}"/>
    <cellStyle name="Style 12" xfId="2420" xr:uid="{00000000-0005-0000-0000-0000490E0000}"/>
    <cellStyle name="Style 12 2" xfId="3949" xr:uid="{00000000-0005-0000-0000-00004A0E0000}"/>
    <cellStyle name="Style 120" xfId="2421" xr:uid="{00000000-0005-0000-0000-00004B0E0000}"/>
    <cellStyle name="Style 120 2" xfId="3950" xr:uid="{00000000-0005-0000-0000-00004C0E0000}"/>
    <cellStyle name="Style 121" xfId="2422" xr:uid="{00000000-0005-0000-0000-00004D0E0000}"/>
    <cellStyle name="Style 121 2" xfId="3951" xr:uid="{00000000-0005-0000-0000-00004E0E0000}"/>
    <cellStyle name="Style 122" xfId="2423" xr:uid="{00000000-0005-0000-0000-00004F0E0000}"/>
    <cellStyle name="Style 122 2" xfId="3952" xr:uid="{00000000-0005-0000-0000-0000500E0000}"/>
    <cellStyle name="Style 123" xfId="2424" xr:uid="{00000000-0005-0000-0000-0000510E0000}"/>
    <cellStyle name="Style 123 2" xfId="3953" xr:uid="{00000000-0005-0000-0000-0000520E0000}"/>
    <cellStyle name="Style 124" xfId="2425" xr:uid="{00000000-0005-0000-0000-0000530E0000}"/>
    <cellStyle name="Style 124 2" xfId="3954" xr:uid="{00000000-0005-0000-0000-0000540E0000}"/>
    <cellStyle name="Style 125" xfId="2426" xr:uid="{00000000-0005-0000-0000-0000550E0000}"/>
    <cellStyle name="Style 125 2" xfId="3955" xr:uid="{00000000-0005-0000-0000-0000560E0000}"/>
    <cellStyle name="Style 126" xfId="2427" xr:uid="{00000000-0005-0000-0000-0000570E0000}"/>
    <cellStyle name="Style 126 2" xfId="3956" xr:uid="{00000000-0005-0000-0000-0000580E0000}"/>
    <cellStyle name="Style 127" xfId="2428" xr:uid="{00000000-0005-0000-0000-0000590E0000}"/>
    <cellStyle name="Style 127 2" xfId="3957" xr:uid="{00000000-0005-0000-0000-00005A0E0000}"/>
    <cellStyle name="Style 128" xfId="2429" xr:uid="{00000000-0005-0000-0000-00005B0E0000}"/>
    <cellStyle name="Style 128 2" xfId="3958" xr:uid="{00000000-0005-0000-0000-00005C0E0000}"/>
    <cellStyle name="Style 129" xfId="2430" xr:uid="{00000000-0005-0000-0000-00005D0E0000}"/>
    <cellStyle name="Style 13" xfId="2431" xr:uid="{00000000-0005-0000-0000-00005E0E0000}"/>
    <cellStyle name="Style 13 2" xfId="3959" xr:uid="{00000000-0005-0000-0000-00005F0E0000}"/>
    <cellStyle name="Style 130" xfId="2432" xr:uid="{00000000-0005-0000-0000-0000600E0000}"/>
    <cellStyle name="Style 130 2" xfId="3960" xr:uid="{00000000-0005-0000-0000-0000610E0000}"/>
    <cellStyle name="Style 131" xfId="2433" xr:uid="{00000000-0005-0000-0000-0000620E0000}"/>
    <cellStyle name="Style 131 2" xfId="3961" xr:uid="{00000000-0005-0000-0000-0000630E0000}"/>
    <cellStyle name="Style 132" xfId="2434" xr:uid="{00000000-0005-0000-0000-0000640E0000}"/>
    <cellStyle name="Style 133" xfId="2435" xr:uid="{00000000-0005-0000-0000-0000650E0000}"/>
    <cellStyle name="Style 134" xfId="2436" xr:uid="{00000000-0005-0000-0000-0000660E0000}"/>
    <cellStyle name="Style 135" xfId="2437" xr:uid="{00000000-0005-0000-0000-0000670E0000}"/>
    <cellStyle name="Style 136" xfId="2438" xr:uid="{00000000-0005-0000-0000-0000680E0000}"/>
    <cellStyle name="Style 137" xfId="2439" xr:uid="{00000000-0005-0000-0000-0000690E0000}"/>
    <cellStyle name="Style 138" xfId="2440" xr:uid="{00000000-0005-0000-0000-00006A0E0000}"/>
    <cellStyle name="Style 139" xfId="2441" xr:uid="{00000000-0005-0000-0000-00006B0E0000}"/>
    <cellStyle name="Style 14" xfId="2442" xr:uid="{00000000-0005-0000-0000-00006C0E0000}"/>
    <cellStyle name="Style 14 2" xfId="3962" xr:uid="{00000000-0005-0000-0000-00006D0E0000}"/>
    <cellStyle name="Style 140" xfId="2443" xr:uid="{00000000-0005-0000-0000-00006E0E0000}"/>
    <cellStyle name="Style 141" xfId="2444" xr:uid="{00000000-0005-0000-0000-00006F0E0000}"/>
    <cellStyle name="Style 142" xfId="2445" xr:uid="{00000000-0005-0000-0000-0000700E0000}"/>
    <cellStyle name="Style 143" xfId="2446" xr:uid="{00000000-0005-0000-0000-0000710E0000}"/>
    <cellStyle name="Style 144" xfId="2447" xr:uid="{00000000-0005-0000-0000-0000720E0000}"/>
    <cellStyle name="Style 145" xfId="2448" xr:uid="{00000000-0005-0000-0000-0000730E0000}"/>
    <cellStyle name="Style 146" xfId="3681" xr:uid="{00000000-0005-0000-0000-0000740E0000}"/>
    <cellStyle name="Style 147" xfId="3682" xr:uid="{00000000-0005-0000-0000-0000750E0000}"/>
    <cellStyle name="Style 148" xfId="3683" xr:uid="{00000000-0005-0000-0000-0000760E0000}"/>
    <cellStyle name="Style 149" xfId="3684" xr:uid="{00000000-0005-0000-0000-0000770E0000}"/>
    <cellStyle name="Style 15" xfId="2449" xr:uid="{00000000-0005-0000-0000-0000780E0000}"/>
    <cellStyle name="Style 15 2" xfId="3963" xr:uid="{00000000-0005-0000-0000-0000790E0000}"/>
    <cellStyle name="Style 150" xfId="3685" xr:uid="{00000000-0005-0000-0000-00007A0E0000}"/>
    <cellStyle name="Style 151" xfId="3686" xr:uid="{00000000-0005-0000-0000-00007B0E0000}"/>
    <cellStyle name="Style 152" xfId="3687" xr:uid="{00000000-0005-0000-0000-00007C0E0000}"/>
    <cellStyle name="Style 153" xfId="3688" xr:uid="{00000000-0005-0000-0000-00007D0E0000}"/>
    <cellStyle name="Style 154" xfId="3689" xr:uid="{00000000-0005-0000-0000-00007E0E0000}"/>
    <cellStyle name="Style 155" xfId="3690" xr:uid="{00000000-0005-0000-0000-00007F0E0000}"/>
    <cellStyle name="Style 156" xfId="3691" xr:uid="{00000000-0005-0000-0000-0000800E0000}"/>
    <cellStyle name="Style 157" xfId="3692" xr:uid="{00000000-0005-0000-0000-0000810E0000}"/>
    <cellStyle name="Style 158" xfId="3693" xr:uid="{00000000-0005-0000-0000-0000820E0000}"/>
    <cellStyle name="Style 159" xfId="3694" xr:uid="{00000000-0005-0000-0000-0000830E0000}"/>
    <cellStyle name="Style 16" xfId="2450" xr:uid="{00000000-0005-0000-0000-0000840E0000}"/>
    <cellStyle name="Style 16 2" xfId="3964" xr:uid="{00000000-0005-0000-0000-0000850E0000}"/>
    <cellStyle name="Style 160" xfId="3695" xr:uid="{00000000-0005-0000-0000-0000860E0000}"/>
    <cellStyle name="Style 161" xfId="3696" xr:uid="{00000000-0005-0000-0000-0000870E0000}"/>
    <cellStyle name="Style 162" xfId="3697" xr:uid="{00000000-0005-0000-0000-0000880E0000}"/>
    <cellStyle name="Style 163" xfId="3698" xr:uid="{00000000-0005-0000-0000-0000890E0000}"/>
    <cellStyle name="Style 164" xfId="3699" xr:uid="{00000000-0005-0000-0000-00008A0E0000}"/>
    <cellStyle name="Style 165" xfId="3700" xr:uid="{00000000-0005-0000-0000-00008B0E0000}"/>
    <cellStyle name="Style 166" xfId="3701" xr:uid="{00000000-0005-0000-0000-00008C0E0000}"/>
    <cellStyle name="Style 167" xfId="3702" xr:uid="{00000000-0005-0000-0000-00008D0E0000}"/>
    <cellStyle name="Style 168" xfId="3703" xr:uid="{00000000-0005-0000-0000-00008E0E0000}"/>
    <cellStyle name="Style 169" xfId="3704" xr:uid="{00000000-0005-0000-0000-00008F0E0000}"/>
    <cellStyle name="Style 17" xfId="2451" xr:uid="{00000000-0005-0000-0000-0000900E0000}"/>
    <cellStyle name="Style 17 2" xfId="3965" xr:uid="{00000000-0005-0000-0000-0000910E0000}"/>
    <cellStyle name="Style 170" xfId="3705" xr:uid="{00000000-0005-0000-0000-0000920E0000}"/>
    <cellStyle name="Style 171" xfId="3706" xr:uid="{00000000-0005-0000-0000-0000930E0000}"/>
    <cellStyle name="Style 172" xfId="3707" xr:uid="{00000000-0005-0000-0000-0000940E0000}"/>
    <cellStyle name="Style 173" xfId="3708" xr:uid="{00000000-0005-0000-0000-0000950E0000}"/>
    <cellStyle name="Style 174" xfId="3709" xr:uid="{00000000-0005-0000-0000-0000960E0000}"/>
    <cellStyle name="Style 175" xfId="3710" xr:uid="{00000000-0005-0000-0000-0000970E0000}"/>
    <cellStyle name="Style 176" xfId="3711" xr:uid="{00000000-0005-0000-0000-0000980E0000}"/>
    <cellStyle name="Style 177" xfId="3712" xr:uid="{00000000-0005-0000-0000-0000990E0000}"/>
    <cellStyle name="Style 178" xfId="3713" xr:uid="{00000000-0005-0000-0000-00009A0E0000}"/>
    <cellStyle name="Style 179" xfId="3714" xr:uid="{00000000-0005-0000-0000-00009B0E0000}"/>
    <cellStyle name="Style 18" xfId="2452" xr:uid="{00000000-0005-0000-0000-00009C0E0000}"/>
    <cellStyle name="Style 18 2" xfId="3966" xr:uid="{00000000-0005-0000-0000-00009D0E0000}"/>
    <cellStyle name="Style 180" xfId="3715" xr:uid="{00000000-0005-0000-0000-00009E0E0000}"/>
    <cellStyle name="Style 181" xfId="3716" xr:uid="{00000000-0005-0000-0000-00009F0E0000}"/>
    <cellStyle name="Style 182" xfId="3717" xr:uid="{00000000-0005-0000-0000-0000A00E0000}"/>
    <cellStyle name="Style 183" xfId="3718" xr:uid="{00000000-0005-0000-0000-0000A10E0000}"/>
    <cellStyle name="Style 184" xfId="3719" xr:uid="{00000000-0005-0000-0000-0000A20E0000}"/>
    <cellStyle name="Style 185" xfId="3720" xr:uid="{00000000-0005-0000-0000-0000A30E0000}"/>
    <cellStyle name="Style 186" xfId="3721" xr:uid="{00000000-0005-0000-0000-0000A40E0000}"/>
    <cellStyle name="Style 187" xfId="3722" xr:uid="{00000000-0005-0000-0000-0000A50E0000}"/>
    <cellStyle name="Style 188" xfId="3723" xr:uid="{00000000-0005-0000-0000-0000A60E0000}"/>
    <cellStyle name="Style 189" xfId="3724" xr:uid="{00000000-0005-0000-0000-0000A70E0000}"/>
    <cellStyle name="Style 19" xfId="2453" xr:uid="{00000000-0005-0000-0000-0000A80E0000}"/>
    <cellStyle name="Style 19 2" xfId="3967" xr:uid="{00000000-0005-0000-0000-0000A90E0000}"/>
    <cellStyle name="Style 190" xfId="3725" xr:uid="{00000000-0005-0000-0000-0000AA0E0000}"/>
    <cellStyle name="Style 191" xfId="3726" xr:uid="{00000000-0005-0000-0000-0000AB0E0000}"/>
    <cellStyle name="Style 192" xfId="3727" xr:uid="{00000000-0005-0000-0000-0000AC0E0000}"/>
    <cellStyle name="Style 193" xfId="3728" xr:uid="{00000000-0005-0000-0000-0000AD0E0000}"/>
    <cellStyle name="Style 194" xfId="3729" xr:uid="{00000000-0005-0000-0000-0000AE0E0000}"/>
    <cellStyle name="Style 195" xfId="3730" xr:uid="{00000000-0005-0000-0000-0000AF0E0000}"/>
    <cellStyle name="Style 196" xfId="3731" xr:uid="{00000000-0005-0000-0000-0000B00E0000}"/>
    <cellStyle name="Style 197" xfId="3732" xr:uid="{00000000-0005-0000-0000-0000B10E0000}"/>
    <cellStyle name="Style 198" xfId="3733" xr:uid="{00000000-0005-0000-0000-0000B20E0000}"/>
    <cellStyle name="Style 199" xfId="3734" xr:uid="{00000000-0005-0000-0000-0000B30E0000}"/>
    <cellStyle name="Style 2" xfId="2454" xr:uid="{00000000-0005-0000-0000-0000B40E0000}"/>
    <cellStyle name="Style 20" xfId="2455" xr:uid="{00000000-0005-0000-0000-0000B50E0000}"/>
    <cellStyle name="Style 20 2" xfId="3968" xr:uid="{00000000-0005-0000-0000-0000B60E0000}"/>
    <cellStyle name="Style 200" xfId="3735" xr:uid="{00000000-0005-0000-0000-0000B70E0000}"/>
    <cellStyle name="Style 201" xfId="3736" xr:uid="{00000000-0005-0000-0000-0000B80E0000}"/>
    <cellStyle name="Style 202" xfId="3737" xr:uid="{00000000-0005-0000-0000-0000B90E0000}"/>
    <cellStyle name="Style 203" xfId="3738" xr:uid="{00000000-0005-0000-0000-0000BA0E0000}"/>
    <cellStyle name="Style 204" xfId="3739" xr:uid="{00000000-0005-0000-0000-0000BB0E0000}"/>
    <cellStyle name="Style 205" xfId="3740" xr:uid="{00000000-0005-0000-0000-0000BC0E0000}"/>
    <cellStyle name="Style 206" xfId="3741" xr:uid="{00000000-0005-0000-0000-0000BD0E0000}"/>
    <cellStyle name="Style 207" xfId="3742" xr:uid="{00000000-0005-0000-0000-0000BE0E0000}"/>
    <cellStyle name="Style 208" xfId="3743" xr:uid="{00000000-0005-0000-0000-0000BF0E0000}"/>
    <cellStyle name="Style 209" xfId="3744" xr:uid="{00000000-0005-0000-0000-0000C00E0000}"/>
    <cellStyle name="Style 21" xfId="2456" xr:uid="{00000000-0005-0000-0000-0000C10E0000}"/>
    <cellStyle name="Style 21 2" xfId="3969" xr:uid="{00000000-0005-0000-0000-0000C20E0000}"/>
    <cellStyle name="Style 210" xfId="3745" xr:uid="{00000000-0005-0000-0000-0000C30E0000}"/>
    <cellStyle name="Style 211" xfId="3746" xr:uid="{00000000-0005-0000-0000-0000C40E0000}"/>
    <cellStyle name="Style 212" xfId="3747" xr:uid="{00000000-0005-0000-0000-0000C50E0000}"/>
    <cellStyle name="Style 213" xfId="3748" xr:uid="{00000000-0005-0000-0000-0000C60E0000}"/>
    <cellStyle name="Style 214" xfId="3749" xr:uid="{00000000-0005-0000-0000-0000C70E0000}"/>
    <cellStyle name="Style 215" xfId="3750" xr:uid="{00000000-0005-0000-0000-0000C80E0000}"/>
    <cellStyle name="Style 216" xfId="3751" xr:uid="{00000000-0005-0000-0000-0000C90E0000}"/>
    <cellStyle name="Style 217" xfId="3752" xr:uid="{00000000-0005-0000-0000-0000CA0E0000}"/>
    <cellStyle name="Style 218" xfId="3753" xr:uid="{00000000-0005-0000-0000-0000CB0E0000}"/>
    <cellStyle name="Style 219" xfId="3754" xr:uid="{00000000-0005-0000-0000-0000CC0E0000}"/>
    <cellStyle name="Style 22" xfId="2457" xr:uid="{00000000-0005-0000-0000-0000CD0E0000}"/>
    <cellStyle name="Style 22 2" xfId="3970" xr:uid="{00000000-0005-0000-0000-0000CE0E0000}"/>
    <cellStyle name="Style 220" xfId="3755" xr:uid="{00000000-0005-0000-0000-0000CF0E0000}"/>
    <cellStyle name="Style 221" xfId="3756" xr:uid="{00000000-0005-0000-0000-0000D00E0000}"/>
    <cellStyle name="Style 222" xfId="3757" xr:uid="{00000000-0005-0000-0000-0000D10E0000}"/>
    <cellStyle name="Style 223" xfId="3758" xr:uid="{00000000-0005-0000-0000-0000D20E0000}"/>
    <cellStyle name="Style 224" xfId="3759" xr:uid="{00000000-0005-0000-0000-0000D30E0000}"/>
    <cellStyle name="Style 225" xfId="3760" xr:uid="{00000000-0005-0000-0000-0000D40E0000}"/>
    <cellStyle name="Style 226" xfId="3761" xr:uid="{00000000-0005-0000-0000-0000D50E0000}"/>
    <cellStyle name="Style 227" xfId="3762" xr:uid="{00000000-0005-0000-0000-0000D60E0000}"/>
    <cellStyle name="Style 228" xfId="3763" xr:uid="{00000000-0005-0000-0000-0000D70E0000}"/>
    <cellStyle name="Style 229" xfId="3764" xr:uid="{00000000-0005-0000-0000-0000D80E0000}"/>
    <cellStyle name="Style 23" xfId="2458" xr:uid="{00000000-0005-0000-0000-0000D90E0000}"/>
    <cellStyle name="Style 230" xfId="3765" xr:uid="{00000000-0005-0000-0000-0000DA0E0000}"/>
    <cellStyle name="Style 231" xfId="3766" xr:uid="{00000000-0005-0000-0000-0000DB0E0000}"/>
    <cellStyle name="Style 232" xfId="3767" xr:uid="{00000000-0005-0000-0000-0000DC0E0000}"/>
    <cellStyle name="Style 233" xfId="3768" xr:uid="{00000000-0005-0000-0000-0000DD0E0000}"/>
    <cellStyle name="Style 234" xfId="3769" xr:uid="{00000000-0005-0000-0000-0000DE0E0000}"/>
    <cellStyle name="Style 235" xfId="3770" xr:uid="{00000000-0005-0000-0000-0000DF0E0000}"/>
    <cellStyle name="Style 236" xfId="3771" xr:uid="{00000000-0005-0000-0000-0000E00E0000}"/>
    <cellStyle name="Style 237" xfId="3772" xr:uid="{00000000-0005-0000-0000-0000E10E0000}"/>
    <cellStyle name="Style 238" xfId="3773" xr:uid="{00000000-0005-0000-0000-0000E20E0000}"/>
    <cellStyle name="Style 239" xfId="3774" xr:uid="{00000000-0005-0000-0000-0000E30E0000}"/>
    <cellStyle name="Style 24" xfId="2459" xr:uid="{00000000-0005-0000-0000-0000E40E0000}"/>
    <cellStyle name="Style 24 2" xfId="3971" xr:uid="{00000000-0005-0000-0000-0000E50E0000}"/>
    <cellStyle name="Style 240" xfId="3775" xr:uid="{00000000-0005-0000-0000-0000E60E0000}"/>
    <cellStyle name="Style 241" xfId="3776" xr:uid="{00000000-0005-0000-0000-0000E70E0000}"/>
    <cellStyle name="Style 242" xfId="3777" xr:uid="{00000000-0005-0000-0000-0000E80E0000}"/>
    <cellStyle name="Style 243" xfId="3778" xr:uid="{00000000-0005-0000-0000-0000E90E0000}"/>
    <cellStyle name="Style 244" xfId="3779" xr:uid="{00000000-0005-0000-0000-0000EA0E0000}"/>
    <cellStyle name="Style 245" xfId="3780" xr:uid="{00000000-0005-0000-0000-0000EB0E0000}"/>
    <cellStyle name="Style 246" xfId="3781" xr:uid="{00000000-0005-0000-0000-0000EC0E0000}"/>
    <cellStyle name="Style 247" xfId="3782" xr:uid="{00000000-0005-0000-0000-0000ED0E0000}"/>
    <cellStyle name="Style 248" xfId="3783" xr:uid="{00000000-0005-0000-0000-0000EE0E0000}"/>
    <cellStyle name="Style 249" xfId="3784" xr:uid="{00000000-0005-0000-0000-0000EF0E0000}"/>
    <cellStyle name="Style 25" xfId="2460" xr:uid="{00000000-0005-0000-0000-0000F00E0000}"/>
    <cellStyle name="Style 25 2" xfId="3972" xr:uid="{00000000-0005-0000-0000-0000F10E0000}"/>
    <cellStyle name="Style 250" xfId="3785" xr:uid="{00000000-0005-0000-0000-0000F20E0000}"/>
    <cellStyle name="Style 251" xfId="3786" xr:uid="{00000000-0005-0000-0000-0000F30E0000}"/>
    <cellStyle name="Style 252" xfId="3787" xr:uid="{00000000-0005-0000-0000-0000F40E0000}"/>
    <cellStyle name="Style 253" xfId="3788" xr:uid="{00000000-0005-0000-0000-0000F50E0000}"/>
    <cellStyle name="Style 254" xfId="3789" xr:uid="{00000000-0005-0000-0000-0000F60E0000}"/>
    <cellStyle name="Style 255" xfId="3790" xr:uid="{00000000-0005-0000-0000-0000F70E0000}"/>
    <cellStyle name="Style 26" xfId="2461" xr:uid="{00000000-0005-0000-0000-0000F80E0000}"/>
    <cellStyle name="Style 26 2" xfId="3973" xr:uid="{00000000-0005-0000-0000-0000F90E0000}"/>
    <cellStyle name="Style 27" xfId="2462" xr:uid="{00000000-0005-0000-0000-0000FA0E0000}"/>
    <cellStyle name="Style 27 2" xfId="3974" xr:uid="{00000000-0005-0000-0000-0000FB0E0000}"/>
    <cellStyle name="Style 28" xfId="2463" xr:uid="{00000000-0005-0000-0000-0000FC0E0000}"/>
    <cellStyle name="Style 29" xfId="2464" xr:uid="{00000000-0005-0000-0000-0000FD0E0000}"/>
    <cellStyle name="Style 29 2" xfId="3975" xr:uid="{00000000-0005-0000-0000-0000FE0E0000}"/>
    <cellStyle name="Style 3" xfId="2465" xr:uid="{00000000-0005-0000-0000-0000FF0E0000}"/>
    <cellStyle name="Style 30" xfId="2466" xr:uid="{00000000-0005-0000-0000-0000000F0000}"/>
    <cellStyle name="Style 30 2" xfId="3976" xr:uid="{00000000-0005-0000-0000-0000010F0000}"/>
    <cellStyle name="Style 31" xfId="2467" xr:uid="{00000000-0005-0000-0000-0000020F0000}"/>
    <cellStyle name="Style 32" xfId="2468" xr:uid="{00000000-0005-0000-0000-0000030F0000}"/>
    <cellStyle name="Style 32 2" xfId="3977" xr:uid="{00000000-0005-0000-0000-0000040F0000}"/>
    <cellStyle name="Style 33" xfId="2469" xr:uid="{00000000-0005-0000-0000-0000050F0000}"/>
    <cellStyle name="Style 34" xfId="2470" xr:uid="{00000000-0005-0000-0000-0000060F0000}"/>
    <cellStyle name="Style 34 2" xfId="3978" xr:uid="{00000000-0005-0000-0000-0000070F0000}"/>
    <cellStyle name="Style 35" xfId="2471" xr:uid="{00000000-0005-0000-0000-0000080F0000}"/>
    <cellStyle name="Style 35 2" xfId="3979" xr:uid="{00000000-0005-0000-0000-0000090F0000}"/>
    <cellStyle name="Style 36" xfId="2472" xr:uid="{00000000-0005-0000-0000-00000A0F0000}"/>
    <cellStyle name="Style 36 2" xfId="3980" xr:uid="{00000000-0005-0000-0000-00000B0F0000}"/>
    <cellStyle name="Style 37" xfId="2473" xr:uid="{00000000-0005-0000-0000-00000C0F0000}"/>
    <cellStyle name="Style 37 2" xfId="3981" xr:uid="{00000000-0005-0000-0000-00000D0F0000}"/>
    <cellStyle name="Style 38" xfId="2474" xr:uid="{00000000-0005-0000-0000-00000E0F0000}"/>
    <cellStyle name="Style 38 2" xfId="3982" xr:uid="{00000000-0005-0000-0000-00000F0F0000}"/>
    <cellStyle name="Style 39" xfId="2475" xr:uid="{00000000-0005-0000-0000-0000100F0000}"/>
    <cellStyle name="Style 4" xfId="2476" xr:uid="{00000000-0005-0000-0000-0000110F0000}"/>
    <cellStyle name="Style 40" xfId="2477" xr:uid="{00000000-0005-0000-0000-0000120F0000}"/>
    <cellStyle name="Style 40 2" xfId="3983" xr:uid="{00000000-0005-0000-0000-0000130F0000}"/>
    <cellStyle name="Style 41" xfId="2478" xr:uid="{00000000-0005-0000-0000-0000140F0000}"/>
    <cellStyle name="Style 41 2" xfId="3984" xr:uid="{00000000-0005-0000-0000-0000150F0000}"/>
    <cellStyle name="Style 42" xfId="2479" xr:uid="{00000000-0005-0000-0000-0000160F0000}"/>
    <cellStyle name="Style 42 2" xfId="3985" xr:uid="{00000000-0005-0000-0000-0000170F0000}"/>
    <cellStyle name="Style 43" xfId="2480" xr:uid="{00000000-0005-0000-0000-0000180F0000}"/>
    <cellStyle name="Style 43 2" xfId="3986" xr:uid="{00000000-0005-0000-0000-0000190F0000}"/>
    <cellStyle name="Style 44" xfId="2481" xr:uid="{00000000-0005-0000-0000-00001A0F0000}"/>
    <cellStyle name="Style 44 2" xfId="3987" xr:uid="{00000000-0005-0000-0000-00001B0F0000}"/>
    <cellStyle name="Style 45" xfId="2482" xr:uid="{00000000-0005-0000-0000-00001C0F0000}"/>
    <cellStyle name="Style 46" xfId="2483" xr:uid="{00000000-0005-0000-0000-00001D0F0000}"/>
    <cellStyle name="Style 47" xfId="2484" xr:uid="{00000000-0005-0000-0000-00001E0F0000}"/>
    <cellStyle name="Style 47 2" xfId="3988" xr:uid="{00000000-0005-0000-0000-00001F0F0000}"/>
    <cellStyle name="Style 48" xfId="2485" xr:uid="{00000000-0005-0000-0000-0000200F0000}"/>
    <cellStyle name="Style 48 2" xfId="3989" xr:uid="{00000000-0005-0000-0000-0000210F0000}"/>
    <cellStyle name="Style 49" xfId="2486" xr:uid="{00000000-0005-0000-0000-0000220F0000}"/>
    <cellStyle name="Style 49 2" xfId="3990" xr:uid="{00000000-0005-0000-0000-0000230F0000}"/>
    <cellStyle name="Style 5" xfId="2487" xr:uid="{00000000-0005-0000-0000-0000240F0000}"/>
    <cellStyle name="Style 5 2" xfId="3991" xr:uid="{00000000-0005-0000-0000-0000250F0000}"/>
    <cellStyle name="Style 50" xfId="2488" xr:uid="{00000000-0005-0000-0000-0000260F0000}"/>
    <cellStyle name="Style 50 2" xfId="3992" xr:uid="{00000000-0005-0000-0000-0000270F0000}"/>
    <cellStyle name="Style 51" xfId="2489" xr:uid="{00000000-0005-0000-0000-0000280F0000}"/>
    <cellStyle name="Style 52" xfId="2490" xr:uid="{00000000-0005-0000-0000-0000290F0000}"/>
    <cellStyle name="Style 53" xfId="2491" xr:uid="{00000000-0005-0000-0000-00002A0F0000}"/>
    <cellStyle name="Style 54" xfId="2492" xr:uid="{00000000-0005-0000-0000-00002B0F0000}"/>
    <cellStyle name="Style 54 2" xfId="3993" xr:uid="{00000000-0005-0000-0000-00002C0F0000}"/>
    <cellStyle name="Style 55" xfId="2493" xr:uid="{00000000-0005-0000-0000-00002D0F0000}"/>
    <cellStyle name="Style 55 2" xfId="3994" xr:uid="{00000000-0005-0000-0000-00002E0F0000}"/>
    <cellStyle name="Style 56" xfId="2494" xr:uid="{00000000-0005-0000-0000-00002F0F0000}"/>
    <cellStyle name="Style 56 2" xfId="3995" xr:uid="{00000000-0005-0000-0000-0000300F0000}"/>
    <cellStyle name="Style 57" xfId="2495" xr:uid="{00000000-0005-0000-0000-0000310F0000}"/>
    <cellStyle name="Style 57 2" xfId="3996" xr:uid="{00000000-0005-0000-0000-0000320F0000}"/>
    <cellStyle name="Style 58" xfId="2496" xr:uid="{00000000-0005-0000-0000-0000330F0000}"/>
    <cellStyle name="Style 58 2" xfId="3997" xr:uid="{00000000-0005-0000-0000-0000340F0000}"/>
    <cellStyle name="Style 59" xfId="2497" xr:uid="{00000000-0005-0000-0000-0000350F0000}"/>
    <cellStyle name="Style 59 2" xfId="3998" xr:uid="{00000000-0005-0000-0000-0000360F0000}"/>
    <cellStyle name="Style 6" xfId="2498" xr:uid="{00000000-0005-0000-0000-0000370F0000}"/>
    <cellStyle name="Style 6 2" xfId="3999" xr:uid="{00000000-0005-0000-0000-0000380F0000}"/>
    <cellStyle name="Style 60" xfId="2499" xr:uid="{00000000-0005-0000-0000-0000390F0000}"/>
    <cellStyle name="Style 60 2" xfId="4000" xr:uid="{00000000-0005-0000-0000-00003A0F0000}"/>
    <cellStyle name="Style 61" xfId="2500" xr:uid="{00000000-0005-0000-0000-00003B0F0000}"/>
    <cellStyle name="Style 61 2" xfId="4001" xr:uid="{00000000-0005-0000-0000-00003C0F0000}"/>
    <cellStyle name="Style 62" xfId="2501" xr:uid="{00000000-0005-0000-0000-00003D0F0000}"/>
    <cellStyle name="Style 62 2" xfId="4002" xr:uid="{00000000-0005-0000-0000-00003E0F0000}"/>
    <cellStyle name="Style 63" xfId="2502" xr:uid="{00000000-0005-0000-0000-00003F0F0000}"/>
    <cellStyle name="Style 63 2" xfId="4003" xr:uid="{00000000-0005-0000-0000-0000400F0000}"/>
    <cellStyle name="Style 64" xfId="2503" xr:uid="{00000000-0005-0000-0000-0000410F0000}"/>
    <cellStyle name="Style 64 2" xfId="4004" xr:uid="{00000000-0005-0000-0000-0000420F0000}"/>
    <cellStyle name="Style 65" xfId="2504" xr:uid="{00000000-0005-0000-0000-0000430F0000}"/>
    <cellStyle name="Style 66" xfId="2505" xr:uid="{00000000-0005-0000-0000-0000440F0000}"/>
    <cellStyle name="Style 66 2" xfId="4005" xr:uid="{00000000-0005-0000-0000-0000450F0000}"/>
    <cellStyle name="Style 67" xfId="2506" xr:uid="{00000000-0005-0000-0000-0000460F0000}"/>
    <cellStyle name="Style 67 2" xfId="4006" xr:uid="{00000000-0005-0000-0000-0000470F0000}"/>
    <cellStyle name="Style 68" xfId="2507" xr:uid="{00000000-0005-0000-0000-0000480F0000}"/>
    <cellStyle name="Style 69" xfId="2508" xr:uid="{00000000-0005-0000-0000-0000490F0000}"/>
    <cellStyle name="Style 69 2" xfId="4007" xr:uid="{00000000-0005-0000-0000-00004A0F0000}"/>
    <cellStyle name="Style 7" xfId="2509" xr:uid="{00000000-0005-0000-0000-00004B0F0000}"/>
    <cellStyle name="Style 70" xfId="2510" xr:uid="{00000000-0005-0000-0000-00004C0F0000}"/>
    <cellStyle name="Style 70 2" xfId="4008" xr:uid="{00000000-0005-0000-0000-00004D0F0000}"/>
    <cellStyle name="Style 71" xfId="2511" xr:uid="{00000000-0005-0000-0000-00004E0F0000}"/>
    <cellStyle name="Style 71 2" xfId="4009" xr:uid="{00000000-0005-0000-0000-00004F0F0000}"/>
    <cellStyle name="Style 72" xfId="2512" xr:uid="{00000000-0005-0000-0000-0000500F0000}"/>
    <cellStyle name="Style 72 2" xfId="4010" xr:uid="{00000000-0005-0000-0000-0000510F0000}"/>
    <cellStyle name="Style 73" xfId="2513" xr:uid="{00000000-0005-0000-0000-0000520F0000}"/>
    <cellStyle name="Style 73 2" xfId="4011" xr:uid="{00000000-0005-0000-0000-0000530F0000}"/>
    <cellStyle name="Style 74" xfId="2514" xr:uid="{00000000-0005-0000-0000-0000540F0000}"/>
    <cellStyle name="Style 74 2" xfId="4012" xr:uid="{00000000-0005-0000-0000-0000550F0000}"/>
    <cellStyle name="Style 75" xfId="2515" xr:uid="{00000000-0005-0000-0000-0000560F0000}"/>
    <cellStyle name="Style 75 2" xfId="4013" xr:uid="{00000000-0005-0000-0000-0000570F0000}"/>
    <cellStyle name="Style 76" xfId="2516" xr:uid="{00000000-0005-0000-0000-0000580F0000}"/>
    <cellStyle name="Style 76 2" xfId="4014" xr:uid="{00000000-0005-0000-0000-0000590F0000}"/>
    <cellStyle name="Style 77" xfId="2517" xr:uid="{00000000-0005-0000-0000-00005A0F0000}"/>
    <cellStyle name="Style 77 2" xfId="4015" xr:uid="{00000000-0005-0000-0000-00005B0F0000}"/>
    <cellStyle name="Style 78" xfId="2518" xr:uid="{00000000-0005-0000-0000-00005C0F0000}"/>
    <cellStyle name="Style 78 2" xfId="4016" xr:uid="{00000000-0005-0000-0000-00005D0F0000}"/>
    <cellStyle name="Style 79" xfId="2519" xr:uid="{00000000-0005-0000-0000-00005E0F0000}"/>
    <cellStyle name="Style 8" xfId="2520" xr:uid="{00000000-0005-0000-0000-00005F0F0000}"/>
    <cellStyle name="Style 8 2" xfId="4017" xr:uid="{00000000-0005-0000-0000-0000600F0000}"/>
    <cellStyle name="Style 80" xfId="2521" xr:uid="{00000000-0005-0000-0000-0000610F0000}"/>
    <cellStyle name="Style 81" xfId="2522" xr:uid="{00000000-0005-0000-0000-0000620F0000}"/>
    <cellStyle name="Style 81 2" xfId="4018" xr:uid="{00000000-0005-0000-0000-0000630F0000}"/>
    <cellStyle name="Style 82" xfId="2523" xr:uid="{00000000-0005-0000-0000-0000640F0000}"/>
    <cellStyle name="Style 83" xfId="2524" xr:uid="{00000000-0005-0000-0000-0000650F0000}"/>
    <cellStyle name="Style 83 2" xfId="4019" xr:uid="{00000000-0005-0000-0000-0000660F0000}"/>
    <cellStyle name="Style 84" xfId="2525" xr:uid="{00000000-0005-0000-0000-0000670F0000}"/>
    <cellStyle name="Style 84 2" xfId="4020" xr:uid="{00000000-0005-0000-0000-0000680F0000}"/>
    <cellStyle name="Style 85" xfId="2526" xr:uid="{00000000-0005-0000-0000-0000690F0000}"/>
    <cellStyle name="Style 85 2" xfId="4021" xr:uid="{00000000-0005-0000-0000-00006A0F0000}"/>
    <cellStyle name="Style 86" xfId="2527" xr:uid="{00000000-0005-0000-0000-00006B0F0000}"/>
    <cellStyle name="Style 86 2" xfId="4022" xr:uid="{00000000-0005-0000-0000-00006C0F0000}"/>
    <cellStyle name="Style 87" xfId="2528" xr:uid="{00000000-0005-0000-0000-00006D0F0000}"/>
    <cellStyle name="Style 87 2" xfId="4023" xr:uid="{00000000-0005-0000-0000-00006E0F0000}"/>
    <cellStyle name="Style 88" xfId="2529" xr:uid="{00000000-0005-0000-0000-00006F0F0000}"/>
    <cellStyle name="Style 88 2" xfId="4024" xr:uid="{00000000-0005-0000-0000-0000700F0000}"/>
    <cellStyle name="Style 89" xfId="2530" xr:uid="{00000000-0005-0000-0000-0000710F0000}"/>
    <cellStyle name="Style 89 2" xfId="4025" xr:uid="{00000000-0005-0000-0000-0000720F0000}"/>
    <cellStyle name="Style 9" xfId="2531" xr:uid="{00000000-0005-0000-0000-0000730F0000}"/>
    <cellStyle name="Style 9 2" xfId="4026" xr:uid="{00000000-0005-0000-0000-0000740F0000}"/>
    <cellStyle name="Style 90" xfId="2532" xr:uid="{00000000-0005-0000-0000-0000750F0000}"/>
    <cellStyle name="Style 90 2" xfId="4027" xr:uid="{00000000-0005-0000-0000-0000760F0000}"/>
    <cellStyle name="Style 91" xfId="2533" xr:uid="{00000000-0005-0000-0000-0000770F0000}"/>
    <cellStyle name="Style 91 2" xfId="4028" xr:uid="{00000000-0005-0000-0000-0000780F0000}"/>
    <cellStyle name="Style 92" xfId="2534" xr:uid="{00000000-0005-0000-0000-0000790F0000}"/>
    <cellStyle name="Style 92 2" xfId="4029" xr:uid="{00000000-0005-0000-0000-00007A0F0000}"/>
    <cellStyle name="Style 93" xfId="2535" xr:uid="{00000000-0005-0000-0000-00007B0F0000}"/>
    <cellStyle name="Style 93 2" xfId="4030" xr:uid="{00000000-0005-0000-0000-00007C0F0000}"/>
    <cellStyle name="Style 94" xfId="2536" xr:uid="{00000000-0005-0000-0000-00007D0F0000}"/>
    <cellStyle name="Style 94 2" xfId="4031" xr:uid="{00000000-0005-0000-0000-00007E0F0000}"/>
    <cellStyle name="Style 95" xfId="2537" xr:uid="{00000000-0005-0000-0000-00007F0F0000}"/>
    <cellStyle name="Style 95 2" xfId="4032" xr:uid="{00000000-0005-0000-0000-0000800F0000}"/>
    <cellStyle name="Style 96" xfId="2538" xr:uid="{00000000-0005-0000-0000-0000810F0000}"/>
    <cellStyle name="Style 96 2" xfId="4033" xr:uid="{00000000-0005-0000-0000-0000820F0000}"/>
    <cellStyle name="Style 97" xfId="2539" xr:uid="{00000000-0005-0000-0000-0000830F0000}"/>
    <cellStyle name="Style 97 2" xfId="4034" xr:uid="{00000000-0005-0000-0000-0000840F0000}"/>
    <cellStyle name="Style 98" xfId="2540" xr:uid="{00000000-0005-0000-0000-0000850F0000}"/>
    <cellStyle name="Style 98 2" xfId="4035" xr:uid="{00000000-0005-0000-0000-0000860F0000}"/>
    <cellStyle name="Style 99" xfId="2541" xr:uid="{00000000-0005-0000-0000-0000870F0000}"/>
    <cellStyle name="Style 99 2" xfId="4036" xr:uid="{00000000-0005-0000-0000-0000880F0000}"/>
    <cellStyle name="Style Date" xfId="2542" xr:uid="{00000000-0005-0000-0000-0000890F0000}"/>
    <cellStyle name="style_1" xfId="2543" xr:uid="{00000000-0005-0000-0000-00008A0F0000}"/>
    <cellStyle name="subhead" xfId="2544" xr:uid="{00000000-0005-0000-0000-00008B0F0000}"/>
    <cellStyle name="T" xfId="2545" xr:uid="{00000000-0005-0000-0000-00008C0F0000}"/>
    <cellStyle name="T_06 Muoi Tri Hai" xfId="2546" xr:uid="{00000000-0005-0000-0000-00008D0F0000}"/>
    <cellStyle name="T_06 Muoi Tri Hai_Du toan bo sung tham dinh 25-7-2016 moi" xfId="4037" xr:uid="{00000000-0005-0000-0000-00008E0F0000}"/>
    <cellStyle name="T_06 Muoi Tri Hai_Ninh Hai Du toan SCL 2016 (sua lan 1)" xfId="4038" xr:uid="{00000000-0005-0000-0000-00008F0F0000}"/>
    <cellStyle name="T_06 Muoi Tri Hai_Xin vat tu SCL 2016" xfId="4039" xr:uid="{00000000-0005-0000-0000-0000900F0000}"/>
    <cellStyle name="T_06-scl-PHUOC HAI.HIEU CHINH-lan 2-09-12-05xls" xfId="2547" xr:uid="{00000000-0005-0000-0000-0000910F0000}"/>
    <cellStyle name="T_07-PHUOC HA.XLS-1" xfId="3791" xr:uid="{00000000-0005-0000-0000-0000920F0000}"/>
    <cellStyle name="T_07-PHUOC HA.XLS-1_Song tra-750-tram nen" xfId="3792" xr:uid="{00000000-0005-0000-0000-0000930F0000}"/>
    <cellStyle name="T_07-PHUOC HA.XLS-1_Song tra-750-tram nen 2" xfId="3793" xr:uid="{00000000-0005-0000-0000-0000940F0000}"/>
    <cellStyle name="T_07-scl ninh hai 31-05" xfId="4040" xr:uid="{00000000-0005-0000-0000-0000950F0000}"/>
    <cellStyle name="T_07-scl ninh hai 31-05_Du toan bo sung tham dinh 25-7-2016 moi" xfId="4041" xr:uid="{00000000-0005-0000-0000-0000960F0000}"/>
    <cellStyle name="T_07-scl ninh hai 31-05_Ninh Hai Du toan SCL 2016 (sua lan 1)" xfId="4042" xr:uid="{00000000-0005-0000-0000-0000970F0000}"/>
    <cellStyle name="T_07-scl ninh hai 31-05_Xin vat tu SCL 2016" xfId="4043" xr:uid="{00000000-0005-0000-0000-0000980F0000}"/>
    <cellStyle name="T_BIENCHE TDT SCL T2 -2006" xfId="4044" xr:uid="{00000000-0005-0000-0000-0000990F0000}"/>
    <cellStyle name="T_Book1" xfId="2548" xr:uid="{00000000-0005-0000-0000-00009A0F0000}"/>
    <cellStyle name="T_Book1_BANG SO SANH NHAN CONG SC MBA DUYET" xfId="2549" xr:uid="{00000000-0005-0000-0000-00009B0F0000}"/>
    <cellStyle name="T_Book1_BANG SO SANH NHAN CONG SC MBA DUYET 2" xfId="2550" xr:uid="{00000000-0005-0000-0000-00009C0F0000}"/>
    <cellStyle name="T_Book1_Du toan bo sung tham dinh 25-7-2016 moi" xfId="4045" xr:uid="{00000000-0005-0000-0000-00009D0F0000}"/>
    <cellStyle name="T_Book1_Ninh Hai Du toan SCL 2016 (sua lan 1)" xfId="4046" xr:uid="{00000000-0005-0000-0000-00009E0F0000}"/>
    <cellStyle name="T_Book1_Song tra-750-tram nen" xfId="3794" xr:uid="{00000000-0005-0000-0000-00009F0F0000}"/>
    <cellStyle name="T_Book1_TDT-MAU2" xfId="2551" xr:uid="{00000000-0005-0000-0000-0000A00F0000}"/>
    <cellStyle name="T_Book1_TDT-MAU2 2" xfId="2552" xr:uid="{00000000-0005-0000-0000-0000A10F0000}"/>
    <cellStyle name="T_Book1_TDT-MAU2_DU TOAN  SCL 2013(THUAN BAC)" xfId="4047" xr:uid="{00000000-0005-0000-0000-0000A20F0000}"/>
    <cellStyle name="T_Book1_TDT-MAU2_DU TOAN  SCL 2013(THUAN BAC)_Du toan bo sung tham dinh 25-7-2016 moi" xfId="4048" xr:uid="{00000000-0005-0000-0000-0000A30F0000}"/>
    <cellStyle name="T_Book1_TDT-MAU2_DU TOAN  SCL 2013(THUAN BAC)_Ninh Hai Du toan SCL 2016 (sua lan 1)" xfId="4049" xr:uid="{00000000-0005-0000-0000-0000A40F0000}"/>
    <cellStyle name="T_Book1_TDT-MAU2_DU TOAN  SCL 2013(THUAN BAC)_Xin vat tu SCL 2016" xfId="4050" xr:uid="{00000000-0005-0000-0000-0000A50F0000}"/>
    <cellStyle name="T_Book1_TDT-MAU2_Du toan bo sung tham dinh 25-7-2016 moi" xfId="4051" xr:uid="{00000000-0005-0000-0000-0000A60F0000}"/>
    <cellStyle name="T_Book1_TDT-MAU2_du toan SCL 2011" xfId="4052" xr:uid="{00000000-0005-0000-0000-0000A70F0000}"/>
    <cellStyle name="T_Book1_TDT-MAU2_Ninh Hai Du toan SCL 2014 bo sung (gui Q Anh) sua 29-5" xfId="4053" xr:uid="{00000000-0005-0000-0000-0000A80F0000}"/>
    <cellStyle name="T_Book1_TDT-MAU2_Ninh Hai Du toan SCL 2015 (bo sung)" xfId="4054" xr:uid="{00000000-0005-0000-0000-0000A90F0000}"/>
    <cellStyle name="T_Book1_TDT-MAU2_Ninh Hai Du toan SCL 2016  (thay day boc) tham dinh" xfId="4055" xr:uid="{00000000-0005-0000-0000-0000AA0F0000}"/>
    <cellStyle name="T_Book1_TDT-MAU2_Ninh Hai Du toan SCL 2016 (dang lam 8-8-2015)" xfId="4056" xr:uid="{00000000-0005-0000-0000-0000AB0F0000}"/>
    <cellStyle name="T_Book1_TDT-MAU2_Ninh Hai Du toan SCL 2016 (dang lam)" xfId="4057" xr:uid="{00000000-0005-0000-0000-0000AC0F0000}"/>
    <cellStyle name="T_Book1_TDT-MAU2_Ninh Hai Du toan SCL 2016 (sua lan 1)" xfId="4058" xr:uid="{00000000-0005-0000-0000-0000AD0F0000}"/>
    <cellStyle name="T_Book1_TDT-MAU2_Song tra-750-tram nen" xfId="3795" xr:uid="{00000000-0005-0000-0000-0000AE0F0000}"/>
    <cellStyle name="T_Book1_TDT-MAU2_Xin vat tu SCL 2016" xfId="4059" xr:uid="{00000000-0005-0000-0000-0000AF0F0000}"/>
    <cellStyle name="T_Book1_Xin vat tu SCL 2016" xfId="4060" xr:uid="{00000000-0005-0000-0000-0000B00F0000}"/>
    <cellStyle name="T_Đấu chuyển sau khi thi công XTGD 2-trạm VĂN LÂM 2" xfId="2553" xr:uid="{00000000-0005-0000-0000-0000B10F0000}"/>
    <cellStyle name="T_Dien Ke thon Phuoc Nhon 2" xfId="2554" xr:uid="{00000000-0005-0000-0000-0000B20F0000}"/>
    <cellStyle name="T_Du toan thay ong ep va da composite sua" xfId="4061" xr:uid="{00000000-0005-0000-0000-0000B30F0000}"/>
    <cellStyle name="T_Du toan thay ong ep va da composite sua_Du toan bo sung tham dinh 25-7-2016 moi" xfId="4062" xr:uid="{00000000-0005-0000-0000-0000B40F0000}"/>
    <cellStyle name="T_Du toan thay ong ep va da composite sua_Ninh Hai Du toan SCL 2016 (sua lan 1)" xfId="4063" xr:uid="{00000000-0005-0000-0000-0000B50F0000}"/>
    <cellStyle name="T_Du toan thay ong ep va da composite sua_Xin vat tu SCL 2016" xfId="4064" xr:uid="{00000000-0005-0000-0000-0000B60F0000}"/>
    <cellStyle name="T_Du toan tram GDEN2 giai doan 2" xfId="2555" xr:uid="{00000000-0005-0000-0000-0000B70F0000}"/>
    <cellStyle name="T_Du toan tram PHUOC NHON 2 giai doan 2" xfId="2556" xr:uid="{00000000-0005-0000-0000-0000B80F0000}"/>
    <cellStyle name="T_Dutoan NC 22 khu vuc san bay  09-2006moi" xfId="4065" xr:uid="{00000000-0005-0000-0000-0000B90F0000}"/>
    <cellStyle name="T_Dutoan NC 22 khu vuc san bay  09-2006moi_Du toan bo sung tham dinh 25-7-2016 moi" xfId="4066" xr:uid="{00000000-0005-0000-0000-0000BA0F0000}"/>
    <cellStyle name="T_Dutoan NC 22 khu vuc san bay  09-2006moi_Ninh Hai Du toan SCL 2016 (sua lan 1)" xfId="4067" xr:uid="{00000000-0005-0000-0000-0000BB0F0000}"/>
    <cellStyle name="T_Dutoan NC 22 khu vuc san bay  09-2006moi_Xin vat tu SCL 2016" xfId="4068" xr:uid="{00000000-0005-0000-0000-0000BC0F0000}"/>
    <cellStyle name="T_Ht-PTq1-03" xfId="2557" xr:uid="{00000000-0005-0000-0000-0000BD0F0000}"/>
    <cellStyle name="T_Ht-PTq1-03_Du toan bo sung tham dinh 25-7-2016 moi" xfId="4069" xr:uid="{00000000-0005-0000-0000-0000BE0F0000}"/>
    <cellStyle name="T_Ht-PTq1-03_Ninh Hai Du toan SCL 2016 (sua lan 1)" xfId="4070" xr:uid="{00000000-0005-0000-0000-0000BF0F0000}"/>
    <cellStyle name="T_Ht-PTq1-03_Song tra-750-tram nen" xfId="3796" xr:uid="{00000000-0005-0000-0000-0000C00F0000}"/>
    <cellStyle name="T_Ht-PTq1-03_Xin vat tu SCL 2016" xfId="4071" xr:uid="{00000000-0005-0000-0000-0000C10F0000}"/>
    <cellStyle name="T_KINH DOANH_ SCL 2015" xfId="4072" xr:uid="{00000000-0005-0000-0000-0000C20F0000}"/>
    <cellStyle name="T_KINH DOANH_ SCL 2015_Du toan bo sung tham dinh 25-7-2016 moi" xfId="4073" xr:uid="{00000000-0005-0000-0000-0000C30F0000}"/>
    <cellStyle name="T_KINH DOANH_ SCL 2015_Ninh Hai Du toan SCL 2016 (sua lan 1)" xfId="4074" xr:uid="{00000000-0005-0000-0000-0000C40F0000}"/>
    <cellStyle name="T_KINH DOANH_ SCL 2015_Xin vat tu SCL 2016" xfId="4075" xr:uid="{00000000-0005-0000-0000-0000C50F0000}"/>
    <cellStyle name="T_Nghiem Thu KL" xfId="2558" xr:uid="{00000000-0005-0000-0000-0000C60F0000}"/>
    <cellStyle name="T_SCL 07-Phuoc Hau-unicod" xfId="2559" xr:uid="{00000000-0005-0000-0000-0000C70F0000}"/>
    <cellStyle name="T_SCL 07-Phuoc Hau-unicod_Du toan bo sung tham dinh 25-7-2016 moi" xfId="4076" xr:uid="{00000000-0005-0000-0000-0000C80F0000}"/>
    <cellStyle name="T_SCL 07-Phuoc Hau-unicod_Ninh Hai Du toan SCL 2016 (sua lan 1)" xfId="4077" xr:uid="{00000000-0005-0000-0000-0000C90F0000}"/>
    <cellStyle name="T_SCL 07-Phuoc Hau-unicod_Xin vat tu SCL 2016" xfId="4078" xr:uid="{00000000-0005-0000-0000-0000CA0F0000}"/>
    <cellStyle name="T_SCL tram GO DEN - GO THAO" xfId="2560" xr:uid="{00000000-0005-0000-0000-0000CB0F0000}"/>
    <cellStyle name="T_SO TRU TRUNG AP SCL GUI ANH PHUONG" xfId="4079" xr:uid="{00000000-0005-0000-0000-0000CC0F0000}"/>
    <cellStyle name="T_Song tra-750-tram nen" xfId="3797" xr:uid="{00000000-0005-0000-0000-0000CD0F0000}"/>
    <cellStyle name="T_sua chua lon Thao 1" xfId="4080" xr:uid="{00000000-0005-0000-0000-0000CE0F0000}"/>
    <cellStyle name="T_TK_HT" xfId="2561" xr:uid="{00000000-0005-0000-0000-0000CF0F0000}"/>
    <cellStyle name="T_TONG KE GO DEN-GO THAO" xfId="2562" xr:uid="{00000000-0005-0000-0000-0000D00F0000}"/>
    <cellStyle name="T_Tong ke SCL 2011 (QHung)" xfId="2563" xr:uid="{00000000-0005-0000-0000-0000D10F0000}"/>
    <cellStyle name="T_Tong ke SCL bo sung 2007" xfId="2564" xr:uid="{00000000-0005-0000-0000-0000D20F0000}"/>
    <cellStyle name="T_Tong ke sua chua DZ dke (xoa tong gd 2)-NLam 2 -Vtu" xfId="2565" xr:uid="{00000000-0005-0000-0000-0000D30F0000}"/>
    <cellStyle name="T_Tong ke sua chua DZ dke (xoa tong gd 2)-NLam-Vtu" xfId="2566" xr:uid="{00000000-0005-0000-0000-0000D40F0000}"/>
    <cellStyle name="T_Tong ke sua chua DZ dke (xoa tong gd 2)-VLam 1" xfId="2567" xr:uid="{00000000-0005-0000-0000-0000D50F0000}"/>
    <cellStyle name="T_Tong ke sua chua DZ dke (xoa tong gd 2)-VLam 2" xfId="2568" xr:uid="{00000000-0005-0000-0000-0000D60F0000}"/>
    <cellStyle name="T_Truong day nghe-2009-tram nen(Uni)" xfId="3798" xr:uid="{00000000-0005-0000-0000-0000D70F0000}"/>
    <cellStyle name="Tan" xfId="3799" xr:uid="{00000000-0005-0000-0000-0000D80F0000}"/>
    <cellStyle name="Text" xfId="2569" xr:uid="{00000000-0005-0000-0000-0000D90F0000}"/>
    <cellStyle name="Text 2" xfId="3800" xr:uid="{00000000-0005-0000-0000-0000DA0F0000}"/>
    <cellStyle name="Text 3" xfId="3801" xr:uid="{00000000-0005-0000-0000-0000DB0F0000}"/>
    <cellStyle name="Text 4" xfId="3802" xr:uid="{00000000-0005-0000-0000-0000DC0F0000}"/>
    <cellStyle name="th" xfId="2570" xr:uid="{00000000-0005-0000-0000-0000DD0F0000}"/>
    <cellStyle name="þ_x001d_ð‡_x000c_éþ÷_x000c_âþU_x0001_î_x000f_h_x0018__x0007__x0001__x0001_" xfId="2571" xr:uid="{00000000-0005-0000-0000-0000DE0F0000}"/>
    <cellStyle name="þ_x001d_ð‡_x000c_éþ÷_x000c_âþU_x0001_î_x000f_h_x0018__x0007__x0001__x0001_?_x0002_ÿÿÿÿÿÿÿÿÿÿÿÿÿÿÿ¯?(_x0002__x001d__x001a_ ???Ê(ÿÿÿÿ????_x0006__x0014_??????????????Í!Ë??????????           ?????           ?????????_x000d_/x /l 1024 128_x000d_INDOWS\COMMAND;C:\WINDOWS\COMMAND;C:\D2;c:windows;c:\nc_x000d_??????????????????????????????????????????????" xfId="3803" xr:uid="{00000000-0005-0000-0000-0000DF0F0000}"/>
    <cellStyle name="þ_x001d_ð‡_x000c_éþ÷_x000c_âþU_x0001_î_x000f_h_x0018__x0007__x0001__x0001_?_x0002_ÿÿÿÿÿÿÿÿÿÿÿÿÿÿÿ¯?(_x0002__x001d__x001a_ ???Ê(ÿÿÿÿ????_x0006__x0014_??????????????Í!Ë??????????           ?????           ?????????_x000d_/x /l 1024 128_x000d_INDOWS\COMMAND;C:\WINDOWS\COMMAND;C:\D2;c:windows;c:\nc_x000d_?????????????????????????????????????????????? 2" xfId="3804" xr:uid="{00000000-0005-0000-0000-0000E00F0000}"/>
    <cellStyle name="Title" xfId="2572" builtinId="15" customBuiltin="1"/>
    <cellStyle name="Title 2" xfId="2642" xr:uid="{00000000-0005-0000-0000-0000E20F0000}"/>
    <cellStyle name="Total" xfId="2573" builtinId="25" customBuiltin="1"/>
    <cellStyle name="Total 2" xfId="2643" xr:uid="{00000000-0005-0000-0000-0000E40F0000}"/>
    <cellStyle name="viet" xfId="2574" xr:uid="{00000000-0005-0000-0000-0000E50F0000}"/>
    <cellStyle name="viet2" xfId="2575" xr:uid="{00000000-0005-0000-0000-0000E60F0000}"/>
    <cellStyle name="Währung [0]_UXO VII" xfId="2576" xr:uid="{00000000-0005-0000-0000-0000E70F0000}"/>
    <cellStyle name="Währung_UXO VII" xfId="2577" xr:uid="{00000000-0005-0000-0000-0000E80F0000}"/>
    <cellStyle name="Warning Text" xfId="2578" builtinId="11" customBuiltin="1"/>
    <cellStyle name="Warning Text 2" xfId="2644" xr:uid="{00000000-0005-0000-0000-0000EA0F0000}"/>
    <cellStyle name=" [0.00]_ Att. 1- Cover" xfId="3805" xr:uid="{00000000-0005-0000-0000-0000EB0F0000}"/>
    <cellStyle name="_ Att. 1- Cover" xfId="3806" xr:uid="{00000000-0005-0000-0000-0000EC0F0000}"/>
    <cellStyle name="?_ Att. 1- Cover" xfId="3807" xr:uid="{00000000-0005-0000-0000-0000ED0F0000}"/>
    <cellStyle name="똿뗦먛귟 [0.00]_PRODUCT DETAIL Q1" xfId="2579" xr:uid="{00000000-0005-0000-0000-0000EE0F0000}"/>
    <cellStyle name="똿뗦먛귟_PRODUCT DETAIL Q1" xfId="2580" xr:uid="{00000000-0005-0000-0000-0000EF0F0000}"/>
    <cellStyle name="믅됞 [0.00]_PRODUCT DETAIL Q1" xfId="2581" xr:uid="{00000000-0005-0000-0000-0000F00F0000}"/>
    <cellStyle name="믅됞_PRODUCT DETAIL Q1" xfId="2582" xr:uid="{00000000-0005-0000-0000-0000F10F0000}"/>
    <cellStyle name="백분율_95" xfId="2583" xr:uid="{00000000-0005-0000-0000-0000F20F0000}"/>
    <cellStyle name="뷭?_BOOKSHIP" xfId="2584" xr:uid="{00000000-0005-0000-0000-0000F30F0000}"/>
    <cellStyle name="콤마 [0]_ 비목별 월별기술 " xfId="3808" xr:uid="{00000000-0005-0000-0000-0000F40F0000}"/>
    <cellStyle name="콤마_ 비목별 월별기술 " xfId="3809" xr:uid="{00000000-0005-0000-0000-0000F50F0000}"/>
    <cellStyle name="통화 [0]_1202" xfId="2585" xr:uid="{00000000-0005-0000-0000-0000F60F0000}"/>
    <cellStyle name="통화_1202" xfId="2586" xr:uid="{00000000-0005-0000-0000-0000F70F0000}"/>
    <cellStyle name="표준_(정보부문)월별인원계획" xfId="2587" xr:uid="{00000000-0005-0000-0000-0000F80F0000}"/>
    <cellStyle name="一般_99Q3647-ALL-CAS2" xfId="3810" xr:uid="{00000000-0005-0000-0000-0000F90F0000}"/>
    <cellStyle name="千分位[0]_Book1" xfId="2588" xr:uid="{00000000-0005-0000-0000-0000FA0F0000}"/>
    <cellStyle name="千分位_99Q3647-ALL-CAS2" xfId="3811" xr:uid="{00000000-0005-0000-0000-0000FB0F0000}"/>
    <cellStyle name="桁区切り [0.00]_List-dwg" xfId="2589" xr:uid="{00000000-0005-0000-0000-0000FC0F0000}"/>
    <cellStyle name="桁区切り_List-dwg" xfId="2590" xr:uid="{00000000-0005-0000-0000-0000FD0F0000}"/>
    <cellStyle name="標準_List-dwg" xfId="2591" xr:uid="{00000000-0005-0000-0000-0000FE0F0000}"/>
    <cellStyle name="貨幣 [0]_Book1" xfId="2592" xr:uid="{00000000-0005-0000-0000-0000FF0F0000}"/>
    <cellStyle name="貨幣[0]_BRE" xfId="3812" xr:uid="{00000000-0005-0000-0000-000000100000}"/>
    <cellStyle name="貨幣_Book1" xfId="2593" xr:uid="{00000000-0005-0000-0000-000001100000}"/>
    <cellStyle name="通貨 [0.00]_List-dwg" xfId="2594" xr:uid="{00000000-0005-0000-0000-000002100000}"/>
    <cellStyle name="通貨_List-dwg" xfId="2595" xr:uid="{00000000-0005-0000-0000-0000031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114300</xdr:colOff>
      <xdr:row>33</xdr:row>
      <xdr:rowOff>152400</xdr:rowOff>
    </xdr:from>
    <xdr:to>
      <xdr:col>2</xdr:col>
      <xdr:colOff>152400</xdr:colOff>
      <xdr:row>34</xdr:row>
      <xdr:rowOff>238125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271182" y="10495429"/>
          <a:ext cx="497542" cy="466725"/>
          <a:chOff x="846" y="138"/>
          <a:chExt cx="81" cy="81"/>
        </a:xfrm>
      </xdr:grpSpPr>
      <xdr:sp macro="" textlink="">
        <xdr:nvSpPr>
          <xdr:cNvPr id="3" name="Freeform 2">
            <a:extLst>
              <a:ext uri="{FF2B5EF4-FFF2-40B4-BE49-F238E27FC236}">
                <a16:creationId xmlns:a16="http://schemas.microsoft.com/office/drawing/2014/main" id="{00000000-0008-0000-0000-000003000000}"/>
              </a:ext>
            </a:extLst>
          </xdr:cNvPr>
          <xdr:cNvSpPr>
            <a:spLocks/>
          </xdr:cNvSpPr>
        </xdr:nvSpPr>
        <xdr:spPr bwMode="auto">
          <a:xfrm>
            <a:off x="887" y="185"/>
            <a:ext cx="7"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365" y="0"/>
                </a:moveTo>
                <a:lnTo>
                  <a:pt x="0" y="550"/>
                </a:lnTo>
                <a:lnTo>
                  <a:pt x="0" y="1591"/>
                </a:lnTo>
                <a:lnTo>
                  <a:pt x="365" y="0"/>
                </a:lnTo>
                <a:close/>
              </a:path>
            </a:pathLst>
          </a:custGeom>
          <a:solidFill>
            <a:srgbClr val="000000"/>
          </a:solidFill>
          <a:ln w="12700">
            <a:solidFill>
              <a:srgbClr val="000000"/>
            </a:solidFill>
            <a:round/>
            <a:headEnd/>
            <a:tailEnd/>
          </a:ln>
        </xdr:spPr>
      </xdr:sp>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887" y="185"/>
            <a:ext cx="7"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365" y="0"/>
                </a:moveTo>
                <a:lnTo>
                  <a:pt x="0" y="550"/>
                </a:lnTo>
                <a:lnTo>
                  <a:pt x="0" y="1591"/>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4">
            <a:extLst>
              <a:ext uri="{FF2B5EF4-FFF2-40B4-BE49-F238E27FC236}">
                <a16:creationId xmlns:a16="http://schemas.microsoft.com/office/drawing/2014/main" id="{00000000-0008-0000-0000-000005000000}"/>
              </a:ext>
            </a:extLst>
          </xdr:cNvPr>
          <xdr:cNvSpPr>
            <a:spLocks/>
          </xdr:cNvSpPr>
        </xdr:nvSpPr>
        <xdr:spPr bwMode="auto">
          <a:xfrm>
            <a:off x="879" y="185"/>
            <a:ext cx="8"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0" y="0"/>
                </a:moveTo>
                <a:lnTo>
                  <a:pt x="365" y="1591"/>
                </a:lnTo>
                <a:lnTo>
                  <a:pt x="365" y="550"/>
                </a:lnTo>
                <a:lnTo>
                  <a:pt x="0" y="0"/>
                </a:lnTo>
                <a:close/>
              </a:path>
            </a:pathLst>
          </a:custGeom>
          <a:solidFill>
            <a:srgbClr val="000000"/>
          </a:solidFill>
          <a:ln w="12700">
            <a:solidFill>
              <a:srgbClr val="000000"/>
            </a:solidFill>
            <a:round/>
            <a:headEnd/>
            <a:tailEnd/>
          </a:ln>
        </xdr:spPr>
      </xdr:sp>
      <xdr:sp macro="" textlink="">
        <xdr:nvSpPr>
          <xdr:cNvPr id="6" name="Freeform 5">
            <a:extLst>
              <a:ext uri="{FF2B5EF4-FFF2-40B4-BE49-F238E27FC236}">
                <a16:creationId xmlns:a16="http://schemas.microsoft.com/office/drawing/2014/main" id="{00000000-0008-0000-0000-000006000000}"/>
              </a:ext>
            </a:extLst>
          </xdr:cNvPr>
          <xdr:cNvSpPr>
            <a:spLocks/>
          </xdr:cNvSpPr>
        </xdr:nvSpPr>
        <xdr:spPr bwMode="auto">
          <a:xfrm>
            <a:off x="879" y="185"/>
            <a:ext cx="8"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0" y="0"/>
                </a:moveTo>
                <a:lnTo>
                  <a:pt x="365" y="1591"/>
                </a:lnTo>
                <a:lnTo>
                  <a:pt x="365" y="55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6">
            <a:extLst>
              <a:ext uri="{FF2B5EF4-FFF2-40B4-BE49-F238E27FC236}">
                <a16:creationId xmlns:a16="http://schemas.microsoft.com/office/drawing/2014/main" id="{00000000-0008-0000-0000-000007000000}"/>
              </a:ext>
            </a:extLst>
          </xdr:cNvPr>
          <xdr:cNvSpPr>
            <a:spLocks/>
          </xdr:cNvSpPr>
        </xdr:nvSpPr>
        <xdr:spPr bwMode="auto">
          <a:xfrm>
            <a:off x="887" y="181"/>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72" y="0"/>
                </a:moveTo>
                <a:lnTo>
                  <a:pt x="0" y="746"/>
                </a:lnTo>
                <a:lnTo>
                  <a:pt x="365" y="196"/>
                </a:lnTo>
                <a:lnTo>
                  <a:pt x="172" y="0"/>
                </a:lnTo>
                <a:close/>
              </a:path>
            </a:pathLst>
          </a:custGeom>
          <a:solidFill>
            <a:srgbClr val="000000"/>
          </a:solidFill>
          <a:ln w="12700">
            <a:solidFill>
              <a:srgbClr val="000000"/>
            </a:solidFill>
            <a:round/>
            <a:headEnd/>
            <a:tailEnd/>
          </a:ln>
        </xdr:spPr>
      </xdr:sp>
      <xdr:sp macro="" textlink="">
        <xdr:nvSpPr>
          <xdr:cNvPr id="8" name="Freeform 7">
            <a:extLst>
              <a:ext uri="{FF2B5EF4-FFF2-40B4-BE49-F238E27FC236}">
                <a16:creationId xmlns:a16="http://schemas.microsoft.com/office/drawing/2014/main" id="{00000000-0008-0000-0000-000008000000}"/>
              </a:ext>
            </a:extLst>
          </xdr:cNvPr>
          <xdr:cNvSpPr>
            <a:spLocks/>
          </xdr:cNvSpPr>
        </xdr:nvSpPr>
        <xdr:spPr bwMode="auto">
          <a:xfrm>
            <a:off x="887" y="181"/>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72" y="0"/>
                </a:moveTo>
                <a:lnTo>
                  <a:pt x="0" y="746"/>
                </a:lnTo>
                <a:lnTo>
                  <a:pt x="365" y="196"/>
                </a:lnTo>
                <a:lnTo>
                  <a:pt x="17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8">
            <a:extLst>
              <a:ext uri="{FF2B5EF4-FFF2-40B4-BE49-F238E27FC236}">
                <a16:creationId xmlns:a16="http://schemas.microsoft.com/office/drawing/2014/main" id="{00000000-0008-0000-0000-000009000000}"/>
              </a:ext>
            </a:extLst>
          </xdr:cNvPr>
          <xdr:cNvSpPr>
            <a:spLocks/>
          </xdr:cNvSpPr>
        </xdr:nvSpPr>
        <xdr:spPr bwMode="auto">
          <a:xfrm>
            <a:off x="879" y="181"/>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95" y="0"/>
                </a:moveTo>
                <a:lnTo>
                  <a:pt x="0" y="196"/>
                </a:lnTo>
                <a:lnTo>
                  <a:pt x="365" y="746"/>
                </a:lnTo>
                <a:lnTo>
                  <a:pt x="195" y="0"/>
                </a:lnTo>
                <a:close/>
              </a:path>
            </a:pathLst>
          </a:custGeom>
          <a:solidFill>
            <a:srgbClr val="000000"/>
          </a:solidFill>
          <a:ln w="12700">
            <a:solidFill>
              <a:srgbClr val="000000"/>
            </a:solidFill>
            <a:round/>
            <a:headEnd/>
            <a:tailEnd/>
          </a:ln>
        </xdr:spPr>
      </xdr:sp>
      <xdr:sp macro="" textlink="">
        <xdr:nvSpPr>
          <xdr:cNvPr id="10" name="Freeform 9">
            <a:extLst>
              <a:ext uri="{FF2B5EF4-FFF2-40B4-BE49-F238E27FC236}">
                <a16:creationId xmlns:a16="http://schemas.microsoft.com/office/drawing/2014/main" id="{00000000-0008-0000-0000-00000A000000}"/>
              </a:ext>
            </a:extLst>
          </xdr:cNvPr>
          <xdr:cNvSpPr>
            <a:spLocks/>
          </xdr:cNvSpPr>
        </xdr:nvSpPr>
        <xdr:spPr bwMode="auto">
          <a:xfrm>
            <a:off x="879" y="181"/>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95" y="0"/>
                </a:moveTo>
                <a:lnTo>
                  <a:pt x="0" y="196"/>
                </a:lnTo>
                <a:lnTo>
                  <a:pt x="365" y="746"/>
                </a:lnTo>
                <a:lnTo>
                  <a:pt x="19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Freeform 10">
            <a:extLst>
              <a:ext uri="{FF2B5EF4-FFF2-40B4-BE49-F238E27FC236}">
                <a16:creationId xmlns:a16="http://schemas.microsoft.com/office/drawing/2014/main" id="{00000000-0008-0000-0000-00000B000000}"/>
              </a:ext>
            </a:extLst>
          </xdr:cNvPr>
          <xdr:cNvSpPr>
            <a:spLocks/>
          </xdr:cNvSpPr>
        </xdr:nvSpPr>
        <xdr:spPr bwMode="auto">
          <a:xfrm>
            <a:off x="890" y="178"/>
            <a:ext cx="37" cy="7"/>
          </a:xfrm>
          <a:custGeom>
            <a:avLst/>
            <a:gdLst>
              <a:gd name="T0" fmla="*/ 0 w 1776"/>
              <a:gd name="T1" fmla="*/ 0 h 368"/>
              <a:gd name="T2" fmla="*/ 0 w 1776"/>
              <a:gd name="T3" fmla="*/ 0 h 368"/>
              <a:gd name="T4" fmla="*/ 0 w 1776"/>
              <a:gd name="T5" fmla="*/ 0 h 368"/>
              <a:gd name="T6" fmla="*/ 0 w 1776"/>
              <a:gd name="T7" fmla="*/ 0 h 368"/>
              <a:gd name="T8" fmla="*/ 0 60000 65536"/>
              <a:gd name="T9" fmla="*/ 0 60000 65536"/>
              <a:gd name="T10" fmla="*/ 0 60000 65536"/>
              <a:gd name="T11" fmla="*/ 0 60000 65536"/>
              <a:gd name="T12" fmla="*/ 0 w 1776"/>
              <a:gd name="T13" fmla="*/ 0 h 368"/>
              <a:gd name="T14" fmla="*/ 1776 w 1776"/>
              <a:gd name="T15" fmla="*/ 368 h 368"/>
            </a:gdLst>
            <a:ahLst/>
            <a:cxnLst>
              <a:cxn ang="T8">
                <a:pos x="T0" y="T1"/>
              </a:cxn>
              <a:cxn ang="T9">
                <a:pos x="T2" y="T3"/>
              </a:cxn>
              <a:cxn ang="T10">
                <a:pos x="T4" y="T5"/>
              </a:cxn>
              <a:cxn ang="T11">
                <a:pos x="T6" y="T7"/>
              </a:cxn>
            </a:cxnLst>
            <a:rect l="T12" t="T13" r="T14" b="T15"/>
            <a:pathLst>
              <a:path w="1776" h="368">
                <a:moveTo>
                  <a:pt x="1776" y="0"/>
                </a:moveTo>
                <a:lnTo>
                  <a:pt x="0" y="172"/>
                </a:lnTo>
                <a:lnTo>
                  <a:pt x="193" y="368"/>
                </a:lnTo>
                <a:lnTo>
                  <a:pt x="1776" y="0"/>
                </a:lnTo>
                <a:close/>
              </a:path>
            </a:pathLst>
          </a:custGeom>
          <a:solidFill>
            <a:srgbClr val="000000"/>
          </a:solidFill>
          <a:ln w="12700">
            <a:solidFill>
              <a:srgbClr val="000000"/>
            </a:solidFill>
            <a:round/>
            <a:headEnd/>
            <a:tailEnd/>
          </a:ln>
        </xdr:spPr>
      </xdr:sp>
      <xdr:sp macro="" textlink="">
        <xdr:nvSpPr>
          <xdr:cNvPr id="12" name="Freeform 11">
            <a:extLst>
              <a:ext uri="{FF2B5EF4-FFF2-40B4-BE49-F238E27FC236}">
                <a16:creationId xmlns:a16="http://schemas.microsoft.com/office/drawing/2014/main" id="{00000000-0008-0000-0000-00000C000000}"/>
              </a:ext>
            </a:extLst>
          </xdr:cNvPr>
          <xdr:cNvSpPr>
            <a:spLocks/>
          </xdr:cNvSpPr>
        </xdr:nvSpPr>
        <xdr:spPr bwMode="auto">
          <a:xfrm>
            <a:off x="890" y="178"/>
            <a:ext cx="37" cy="7"/>
          </a:xfrm>
          <a:custGeom>
            <a:avLst/>
            <a:gdLst>
              <a:gd name="T0" fmla="*/ 0 w 1776"/>
              <a:gd name="T1" fmla="*/ 0 h 368"/>
              <a:gd name="T2" fmla="*/ 0 w 1776"/>
              <a:gd name="T3" fmla="*/ 0 h 368"/>
              <a:gd name="T4" fmla="*/ 0 w 1776"/>
              <a:gd name="T5" fmla="*/ 0 h 368"/>
              <a:gd name="T6" fmla="*/ 0 w 1776"/>
              <a:gd name="T7" fmla="*/ 0 h 368"/>
              <a:gd name="T8" fmla="*/ 0 60000 65536"/>
              <a:gd name="T9" fmla="*/ 0 60000 65536"/>
              <a:gd name="T10" fmla="*/ 0 60000 65536"/>
              <a:gd name="T11" fmla="*/ 0 60000 65536"/>
              <a:gd name="T12" fmla="*/ 0 w 1776"/>
              <a:gd name="T13" fmla="*/ 0 h 368"/>
              <a:gd name="T14" fmla="*/ 1776 w 1776"/>
              <a:gd name="T15" fmla="*/ 368 h 368"/>
            </a:gdLst>
            <a:ahLst/>
            <a:cxnLst>
              <a:cxn ang="T8">
                <a:pos x="T0" y="T1"/>
              </a:cxn>
              <a:cxn ang="T9">
                <a:pos x="T2" y="T3"/>
              </a:cxn>
              <a:cxn ang="T10">
                <a:pos x="T4" y="T5"/>
              </a:cxn>
              <a:cxn ang="T11">
                <a:pos x="T6" y="T7"/>
              </a:cxn>
            </a:cxnLst>
            <a:rect l="T12" t="T13" r="T14" b="T15"/>
            <a:pathLst>
              <a:path w="1776" h="368">
                <a:moveTo>
                  <a:pt x="1776" y="0"/>
                </a:moveTo>
                <a:lnTo>
                  <a:pt x="0" y="172"/>
                </a:lnTo>
                <a:lnTo>
                  <a:pt x="193" y="368"/>
                </a:lnTo>
                <a:lnTo>
                  <a:pt x="1776"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Freeform 12">
            <a:extLst>
              <a:ext uri="{FF2B5EF4-FFF2-40B4-BE49-F238E27FC236}">
                <a16:creationId xmlns:a16="http://schemas.microsoft.com/office/drawing/2014/main" id="{00000000-0008-0000-0000-00000D000000}"/>
              </a:ext>
            </a:extLst>
          </xdr:cNvPr>
          <xdr:cNvSpPr>
            <a:spLocks/>
          </xdr:cNvSpPr>
        </xdr:nvSpPr>
        <xdr:spPr bwMode="auto">
          <a:xfrm>
            <a:off x="890" y="178"/>
            <a:ext cx="37" cy="3"/>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742" y="0"/>
                </a:moveTo>
                <a:lnTo>
                  <a:pt x="0" y="172"/>
                </a:lnTo>
                <a:lnTo>
                  <a:pt x="1776" y="0"/>
                </a:lnTo>
                <a:lnTo>
                  <a:pt x="742" y="0"/>
                </a:lnTo>
                <a:close/>
              </a:path>
            </a:pathLst>
          </a:custGeom>
          <a:solidFill>
            <a:srgbClr val="000000"/>
          </a:solidFill>
          <a:ln w="12700">
            <a:solidFill>
              <a:srgbClr val="000000"/>
            </a:solidFill>
            <a:round/>
            <a:headEnd/>
            <a:tailEnd/>
          </a:ln>
        </xdr:spPr>
      </xdr:sp>
      <xdr:sp macro="" textlink="">
        <xdr:nvSpPr>
          <xdr:cNvPr id="14" name="Freeform 13">
            <a:extLst>
              <a:ext uri="{FF2B5EF4-FFF2-40B4-BE49-F238E27FC236}">
                <a16:creationId xmlns:a16="http://schemas.microsoft.com/office/drawing/2014/main" id="{00000000-0008-0000-0000-00000E000000}"/>
              </a:ext>
            </a:extLst>
          </xdr:cNvPr>
          <xdr:cNvSpPr>
            <a:spLocks/>
          </xdr:cNvSpPr>
        </xdr:nvSpPr>
        <xdr:spPr bwMode="auto">
          <a:xfrm>
            <a:off x="890" y="178"/>
            <a:ext cx="37" cy="3"/>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742" y="0"/>
                </a:moveTo>
                <a:lnTo>
                  <a:pt x="0" y="172"/>
                </a:lnTo>
                <a:lnTo>
                  <a:pt x="1776" y="0"/>
                </a:lnTo>
                <a:lnTo>
                  <a:pt x="74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Freeform 14">
            <a:extLst>
              <a:ext uri="{FF2B5EF4-FFF2-40B4-BE49-F238E27FC236}">
                <a16:creationId xmlns:a16="http://schemas.microsoft.com/office/drawing/2014/main" id="{00000000-0008-0000-0000-00000F000000}"/>
              </a:ext>
            </a:extLst>
          </xdr:cNvPr>
          <xdr:cNvSpPr>
            <a:spLocks/>
          </xdr:cNvSpPr>
        </xdr:nvSpPr>
        <xdr:spPr bwMode="auto">
          <a:xfrm>
            <a:off x="868" y="178"/>
            <a:ext cx="15" cy="7"/>
          </a:xfrm>
          <a:custGeom>
            <a:avLst/>
            <a:gdLst>
              <a:gd name="T0" fmla="*/ 0 w 743"/>
              <a:gd name="T1" fmla="*/ 0 h 368"/>
              <a:gd name="T2" fmla="*/ 0 w 743"/>
              <a:gd name="T3" fmla="*/ 0 h 368"/>
              <a:gd name="T4" fmla="*/ 0 w 743"/>
              <a:gd name="T5" fmla="*/ 0 h 368"/>
              <a:gd name="T6" fmla="*/ 0 w 743"/>
              <a:gd name="T7" fmla="*/ 0 h 368"/>
              <a:gd name="T8" fmla="*/ 0 60000 65536"/>
              <a:gd name="T9" fmla="*/ 0 60000 65536"/>
              <a:gd name="T10" fmla="*/ 0 60000 65536"/>
              <a:gd name="T11" fmla="*/ 0 60000 65536"/>
              <a:gd name="T12" fmla="*/ 0 w 743"/>
              <a:gd name="T13" fmla="*/ 0 h 368"/>
              <a:gd name="T14" fmla="*/ 743 w 743"/>
              <a:gd name="T15" fmla="*/ 368 h 368"/>
            </a:gdLst>
            <a:ahLst/>
            <a:cxnLst>
              <a:cxn ang="T8">
                <a:pos x="T0" y="T1"/>
              </a:cxn>
              <a:cxn ang="T9">
                <a:pos x="T2" y="T3"/>
              </a:cxn>
              <a:cxn ang="T10">
                <a:pos x="T4" y="T5"/>
              </a:cxn>
              <a:cxn ang="T11">
                <a:pos x="T6" y="T7"/>
              </a:cxn>
            </a:cxnLst>
            <a:rect l="T12" t="T13" r="T14" b="T15"/>
            <a:pathLst>
              <a:path w="743" h="368">
                <a:moveTo>
                  <a:pt x="0" y="0"/>
                </a:moveTo>
                <a:lnTo>
                  <a:pt x="548" y="368"/>
                </a:lnTo>
                <a:lnTo>
                  <a:pt x="743" y="172"/>
                </a:lnTo>
                <a:lnTo>
                  <a:pt x="0" y="0"/>
                </a:lnTo>
                <a:close/>
              </a:path>
            </a:pathLst>
          </a:custGeom>
          <a:solidFill>
            <a:srgbClr val="000000"/>
          </a:solidFill>
          <a:ln w="12700">
            <a:solidFill>
              <a:srgbClr val="000000"/>
            </a:solidFill>
            <a:round/>
            <a:headEnd/>
            <a:tailEnd/>
          </a:ln>
        </xdr:spPr>
      </xdr:sp>
      <xdr:sp macro="" textlink="">
        <xdr:nvSpPr>
          <xdr:cNvPr id="16" name="Freeform 15">
            <a:extLst>
              <a:ext uri="{FF2B5EF4-FFF2-40B4-BE49-F238E27FC236}">
                <a16:creationId xmlns:a16="http://schemas.microsoft.com/office/drawing/2014/main" id="{00000000-0008-0000-0000-000010000000}"/>
              </a:ext>
            </a:extLst>
          </xdr:cNvPr>
          <xdr:cNvSpPr>
            <a:spLocks/>
          </xdr:cNvSpPr>
        </xdr:nvSpPr>
        <xdr:spPr bwMode="auto">
          <a:xfrm>
            <a:off x="868" y="178"/>
            <a:ext cx="15" cy="7"/>
          </a:xfrm>
          <a:custGeom>
            <a:avLst/>
            <a:gdLst>
              <a:gd name="T0" fmla="*/ 0 w 743"/>
              <a:gd name="T1" fmla="*/ 0 h 368"/>
              <a:gd name="T2" fmla="*/ 0 w 743"/>
              <a:gd name="T3" fmla="*/ 0 h 368"/>
              <a:gd name="T4" fmla="*/ 0 w 743"/>
              <a:gd name="T5" fmla="*/ 0 h 368"/>
              <a:gd name="T6" fmla="*/ 0 w 743"/>
              <a:gd name="T7" fmla="*/ 0 h 368"/>
              <a:gd name="T8" fmla="*/ 0 60000 65536"/>
              <a:gd name="T9" fmla="*/ 0 60000 65536"/>
              <a:gd name="T10" fmla="*/ 0 60000 65536"/>
              <a:gd name="T11" fmla="*/ 0 60000 65536"/>
              <a:gd name="T12" fmla="*/ 0 w 743"/>
              <a:gd name="T13" fmla="*/ 0 h 368"/>
              <a:gd name="T14" fmla="*/ 743 w 743"/>
              <a:gd name="T15" fmla="*/ 368 h 368"/>
            </a:gdLst>
            <a:ahLst/>
            <a:cxnLst>
              <a:cxn ang="T8">
                <a:pos x="T0" y="T1"/>
              </a:cxn>
              <a:cxn ang="T9">
                <a:pos x="T2" y="T3"/>
              </a:cxn>
              <a:cxn ang="T10">
                <a:pos x="T4" y="T5"/>
              </a:cxn>
              <a:cxn ang="T11">
                <a:pos x="T6" y="T7"/>
              </a:cxn>
            </a:cxnLst>
            <a:rect l="T12" t="T13" r="T14" b="T15"/>
            <a:pathLst>
              <a:path w="743" h="368">
                <a:moveTo>
                  <a:pt x="0" y="0"/>
                </a:moveTo>
                <a:lnTo>
                  <a:pt x="548" y="368"/>
                </a:lnTo>
                <a:lnTo>
                  <a:pt x="743" y="17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Freeform 16">
            <a:extLst>
              <a:ext uri="{FF2B5EF4-FFF2-40B4-BE49-F238E27FC236}">
                <a16:creationId xmlns:a16="http://schemas.microsoft.com/office/drawing/2014/main" id="{00000000-0008-0000-0000-000011000000}"/>
              </a:ext>
            </a:extLst>
          </xdr:cNvPr>
          <xdr:cNvSpPr>
            <a:spLocks/>
          </xdr:cNvSpPr>
        </xdr:nvSpPr>
        <xdr:spPr bwMode="auto">
          <a:xfrm>
            <a:off x="847" y="178"/>
            <a:ext cx="32" cy="7"/>
          </a:xfrm>
          <a:custGeom>
            <a:avLst/>
            <a:gdLst>
              <a:gd name="T0" fmla="*/ 0 w 1582"/>
              <a:gd name="T1" fmla="*/ 0 h 368"/>
              <a:gd name="T2" fmla="*/ 0 w 1582"/>
              <a:gd name="T3" fmla="*/ 0 h 368"/>
              <a:gd name="T4" fmla="*/ 0 w 1582"/>
              <a:gd name="T5" fmla="*/ 0 h 368"/>
              <a:gd name="T6" fmla="*/ 0 w 1582"/>
              <a:gd name="T7" fmla="*/ 0 h 368"/>
              <a:gd name="T8" fmla="*/ 0 60000 65536"/>
              <a:gd name="T9" fmla="*/ 0 60000 65536"/>
              <a:gd name="T10" fmla="*/ 0 60000 65536"/>
              <a:gd name="T11" fmla="*/ 0 60000 65536"/>
              <a:gd name="T12" fmla="*/ 0 w 1582"/>
              <a:gd name="T13" fmla="*/ 0 h 368"/>
              <a:gd name="T14" fmla="*/ 1582 w 1582"/>
              <a:gd name="T15" fmla="*/ 368 h 368"/>
            </a:gdLst>
            <a:ahLst/>
            <a:cxnLst>
              <a:cxn ang="T8">
                <a:pos x="T0" y="T1"/>
              </a:cxn>
              <a:cxn ang="T9">
                <a:pos x="T2" y="T3"/>
              </a:cxn>
              <a:cxn ang="T10">
                <a:pos x="T4" y="T5"/>
              </a:cxn>
              <a:cxn ang="T11">
                <a:pos x="T6" y="T7"/>
              </a:cxn>
            </a:cxnLst>
            <a:rect l="T12" t="T13" r="T14" b="T15"/>
            <a:pathLst>
              <a:path w="1582" h="368">
                <a:moveTo>
                  <a:pt x="0" y="0"/>
                </a:moveTo>
                <a:lnTo>
                  <a:pt x="1582" y="368"/>
                </a:lnTo>
                <a:lnTo>
                  <a:pt x="1034" y="0"/>
                </a:lnTo>
                <a:lnTo>
                  <a:pt x="0" y="0"/>
                </a:lnTo>
                <a:close/>
              </a:path>
            </a:pathLst>
          </a:custGeom>
          <a:solidFill>
            <a:srgbClr val="000000"/>
          </a:solidFill>
          <a:ln w="12700">
            <a:solidFill>
              <a:srgbClr val="000000"/>
            </a:solidFill>
            <a:round/>
            <a:headEnd/>
            <a:tailEnd/>
          </a:ln>
        </xdr:spPr>
      </xdr:sp>
      <xdr:sp macro="" textlink="">
        <xdr:nvSpPr>
          <xdr:cNvPr id="18" name="Freeform 17">
            <a:extLst>
              <a:ext uri="{FF2B5EF4-FFF2-40B4-BE49-F238E27FC236}">
                <a16:creationId xmlns:a16="http://schemas.microsoft.com/office/drawing/2014/main" id="{00000000-0008-0000-0000-000012000000}"/>
              </a:ext>
            </a:extLst>
          </xdr:cNvPr>
          <xdr:cNvSpPr>
            <a:spLocks/>
          </xdr:cNvSpPr>
        </xdr:nvSpPr>
        <xdr:spPr bwMode="auto">
          <a:xfrm>
            <a:off x="847" y="178"/>
            <a:ext cx="32" cy="7"/>
          </a:xfrm>
          <a:custGeom>
            <a:avLst/>
            <a:gdLst>
              <a:gd name="T0" fmla="*/ 0 w 1582"/>
              <a:gd name="T1" fmla="*/ 0 h 368"/>
              <a:gd name="T2" fmla="*/ 0 w 1582"/>
              <a:gd name="T3" fmla="*/ 0 h 368"/>
              <a:gd name="T4" fmla="*/ 0 w 1582"/>
              <a:gd name="T5" fmla="*/ 0 h 368"/>
              <a:gd name="T6" fmla="*/ 0 w 1582"/>
              <a:gd name="T7" fmla="*/ 0 h 368"/>
              <a:gd name="T8" fmla="*/ 0 60000 65536"/>
              <a:gd name="T9" fmla="*/ 0 60000 65536"/>
              <a:gd name="T10" fmla="*/ 0 60000 65536"/>
              <a:gd name="T11" fmla="*/ 0 60000 65536"/>
              <a:gd name="T12" fmla="*/ 0 w 1582"/>
              <a:gd name="T13" fmla="*/ 0 h 368"/>
              <a:gd name="T14" fmla="*/ 1582 w 1582"/>
              <a:gd name="T15" fmla="*/ 368 h 368"/>
            </a:gdLst>
            <a:ahLst/>
            <a:cxnLst>
              <a:cxn ang="T8">
                <a:pos x="T0" y="T1"/>
              </a:cxn>
              <a:cxn ang="T9">
                <a:pos x="T2" y="T3"/>
              </a:cxn>
              <a:cxn ang="T10">
                <a:pos x="T4" y="T5"/>
              </a:cxn>
              <a:cxn ang="T11">
                <a:pos x="T6" y="T7"/>
              </a:cxn>
            </a:cxnLst>
            <a:rect l="T12" t="T13" r="T14" b="T15"/>
            <a:pathLst>
              <a:path w="1582" h="368">
                <a:moveTo>
                  <a:pt x="0" y="0"/>
                </a:moveTo>
                <a:lnTo>
                  <a:pt x="1582" y="368"/>
                </a:lnTo>
                <a:lnTo>
                  <a:pt x="1034" y="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18">
            <a:extLst>
              <a:ext uri="{FF2B5EF4-FFF2-40B4-BE49-F238E27FC236}">
                <a16:creationId xmlns:a16="http://schemas.microsoft.com/office/drawing/2014/main" id="{00000000-0008-0000-0000-000013000000}"/>
              </a:ext>
            </a:extLst>
          </xdr:cNvPr>
          <xdr:cNvSpPr>
            <a:spLocks/>
          </xdr:cNvSpPr>
        </xdr:nvSpPr>
        <xdr:spPr bwMode="auto">
          <a:xfrm>
            <a:off x="890" y="174"/>
            <a:ext cx="37" cy="4"/>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0" y="0"/>
                </a:moveTo>
                <a:lnTo>
                  <a:pt x="742" y="172"/>
                </a:lnTo>
                <a:lnTo>
                  <a:pt x="1776" y="172"/>
                </a:lnTo>
                <a:lnTo>
                  <a:pt x="0" y="0"/>
                </a:lnTo>
                <a:close/>
              </a:path>
            </a:pathLst>
          </a:custGeom>
          <a:solidFill>
            <a:srgbClr val="000000"/>
          </a:solidFill>
          <a:ln w="12700">
            <a:solidFill>
              <a:srgbClr val="000000"/>
            </a:solidFill>
            <a:round/>
            <a:headEnd/>
            <a:tailEnd/>
          </a:ln>
        </xdr:spPr>
      </xdr:sp>
      <xdr:sp macro="" textlink="">
        <xdr:nvSpPr>
          <xdr:cNvPr id="20" name="Freeform 19">
            <a:extLst>
              <a:ext uri="{FF2B5EF4-FFF2-40B4-BE49-F238E27FC236}">
                <a16:creationId xmlns:a16="http://schemas.microsoft.com/office/drawing/2014/main" id="{00000000-0008-0000-0000-000014000000}"/>
              </a:ext>
            </a:extLst>
          </xdr:cNvPr>
          <xdr:cNvSpPr>
            <a:spLocks/>
          </xdr:cNvSpPr>
        </xdr:nvSpPr>
        <xdr:spPr bwMode="auto">
          <a:xfrm>
            <a:off x="890" y="174"/>
            <a:ext cx="37" cy="4"/>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0" y="0"/>
                </a:moveTo>
                <a:lnTo>
                  <a:pt x="742" y="172"/>
                </a:lnTo>
                <a:lnTo>
                  <a:pt x="1776" y="17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Freeform 20">
            <a:extLst>
              <a:ext uri="{FF2B5EF4-FFF2-40B4-BE49-F238E27FC236}">
                <a16:creationId xmlns:a16="http://schemas.microsoft.com/office/drawing/2014/main" id="{00000000-0008-0000-0000-000015000000}"/>
              </a:ext>
            </a:extLst>
          </xdr:cNvPr>
          <xdr:cNvSpPr>
            <a:spLocks/>
          </xdr:cNvSpPr>
        </xdr:nvSpPr>
        <xdr:spPr bwMode="auto">
          <a:xfrm>
            <a:off x="847" y="174"/>
            <a:ext cx="36" cy="4"/>
          </a:xfrm>
          <a:custGeom>
            <a:avLst/>
            <a:gdLst>
              <a:gd name="T0" fmla="*/ 0 w 1777"/>
              <a:gd name="T1" fmla="*/ 0 h 172"/>
              <a:gd name="T2" fmla="*/ 0 w 1777"/>
              <a:gd name="T3" fmla="*/ 0 h 172"/>
              <a:gd name="T4" fmla="*/ 0 w 1777"/>
              <a:gd name="T5" fmla="*/ 0 h 172"/>
              <a:gd name="T6" fmla="*/ 0 w 1777"/>
              <a:gd name="T7" fmla="*/ 0 h 172"/>
              <a:gd name="T8" fmla="*/ 0 60000 65536"/>
              <a:gd name="T9" fmla="*/ 0 60000 65536"/>
              <a:gd name="T10" fmla="*/ 0 60000 65536"/>
              <a:gd name="T11" fmla="*/ 0 60000 65536"/>
              <a:gd name="T12" fmla="*/ 0 w 1777"/>
              <a:gd name="T13" fmla="*/ 0 h 172"/>
              <a:gd name="T14" fmla="*/ 1777 w 1777"/>
              <a:gd name="T15" fmla="*/ 172 h 172"/>
            </a:gdLst>
            <a:ahLst/>
            <a:cxnLst>
              <a:cxn ang="T8">
                <a:pos x="T0" y="T1"/>
              </a:cxn>
              <a:cxn ang="T9">
                <a:pos x="T2" y="T3"/>
              </a:cxn>
              <a:cxn ang="T10">
                <a:pos x="T4" y="T5"/>
              </a:cxn>
              <a:cxn ang="T11">
                <a:pos x="T6" y="T7"/>
              </a:cxn>
            </a:cxnLst>
            <a:rect l="T12" t="T13" r="T14" b="T15"/>
            <a:pathLst>
              <a:path w="1777" h="172">
                <a:moveTo>
                  <a:pt x="1777" y="0"/>
                </a:moveTo>
                <a:lnTo>
                  <a:pt x="0" y="172"/>
                </a:lnTo>
                <a:lnTo>
                  <a:pt x="1034" y="172"/>
                </a:lnTo>
                <a:lnTo>
                  <a:pt x="1777" y="0"/>
                </a:lnTo>
                <a:close/>
              </a:path>
            </a:pathLst>
          </a:custGeom>
          <a:solidFill>
            <a:srgbClr val="000000"/>
          </a:solidFill>
          <a:ln w="12700">
            <a:solidFill>
              <a:srgbClr val="000000"/>
            </a:solidFill>
            <a:round/>
            <a:headEnd/>
            <a:tailEnd/>
          </a:ln>
        </xdr:spPr>
      </xdr:sp>
      <xdr:sp macro="" textlink="">
        <xdr:nvSpPr>
          <xdr:cNvPr id="22" name="Freeform 21">
            <a:extLst>
              <a:ext uri="{FF2B5EF4-FFF2-40B4-BE49-F238E27FC236}">
                <a16:creationId xmlns:a16="http://schemas.microsoft.com/office/drawing/2014/main" id="{00000000-0008-0000-0000-000016000000}"/>
              </a:ext>
            </a:extLst>
          </xdr:cNvPr>
          <xdr:cNvSpPr>
            <a:spLocks/>
          </xdr:cNvSpPr>
        </xdr:nvSpPr>
        <xdr:spPr bwMode="auto">
          <a:xfrm>
            <a:off x="847" y="174"/>
            <a:ext cx="36" cy="4"/>
          </a:xfrm>
          <a:custGeom>
            <a:avLst/>
            <a:gdLst>
              <a:gd name="T0" fmla="*/ 0 w 1777"/>
              <a:gd name="T1" fmla="*/ 0 h 172"/>
              <a:gd name="T2" fmla="*/ 0 w 1777"/>
              <a:gd name="T3" fmla="*/ 0 h 172"/>
              <a:gd name="T4" fmla="*/ 0 w 1777"/>
              <a:gd name="T5" fmla="*/ 0 h 172"/>
              <a:gd name="T6" fmla="*/ 0 w 1777"/>
              <a:gd name="T7" fmla="*/ 0 h 172"/>
              <a:gd name="T8" fmla="*/ 0 60000 65536"/>
              <a:gd name="T9" fmla="*/ 0 60000 65536"/>
              <a:gd name="T10" fmla="*/ 0 60000 65536"/>
              <a:gd name="T11" fmla="*/ 0 60000 65536"/>
              <a:gd name="T12" fmla="*/ 0 w 1777"/>
              <a:gd name="T13" fmla="*/ 0 h 172"/>
              <a:gd name="T14" fmla="*/ 1777 w 1777"/>
              <a:gd name="T15" fmla="*/ 172 h 172"/>
            </a:gdLst>
            <a:ahLst/>
            <a:cxnLst>
              <a:cxn ang="T8">
                <a:pos x="T0" y="T1"/>
              </a:cxn>
              <a:cxn ang="T9">
                <a:pos x="T2" y="T3"/>
              </a:cxn>
              <a:cxn ang="T10">
                <a:pos x="T4" y="T5"/>
              </a:cxn>
              <a:cxn ang="T11">
                <a:pos x="T6" y="T7"/>
              </a:cxn>
            </a:cxnLst>
            <a:rect l="T12" t="T13" r="T14" b="T15"/>
            <a:pathLst>
              <a:path w="1777" h="172">
                <a:moveTo>
                  <a:pt x="1777" y="0"/>
                </a:moveTo>
                <a:lnTo>
                  <a:pt x="0" y="172"/>
                </a:lnTo>
                <a:lnTo>
                  <a:pt x="1034" y="172"/>
                </a:lnTo>
                <a:lnTo>
                  <a:pt x="1777"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Freeform 22">
            <a:extLst>
              <a:ext uri="{FF2B5EF4-FFF2-40B4-BE49-F238E27FC236}">
                <a16:creationId xmlns:a16="http://schemas.microsoft.com/office/drawing/2014/main" id="{00000000-0008-0000-0000-000017000000}"/>
              </a:ext>
            </a:extLst>
          </xdr:cNvPr>
          <xdr:cNvSpPr>
            <a:spLocks/>
          </xdr:cNvSpPr>
        </xdr:nvSpPr>
        <xdr:spPr bwMode="auto">
          <a:xfrm>
            <a:off x="890" y="170"/>
            <a:ext cx="37" cy="8"/>
          </a:xfrm>
          <a:custGeom>
            <a:avLst/>
            <a:gdLst>
              <a:gd name="T0" fmla="*/ 0 w 1776"/>
              <a:gd name="T1" fmla="*/ 0 h 367"/>
              <a:gd name="T2" fmla="*/ 0 w 1776"/>
              <a:gd name="T3" fmla="*/ 0 h 367"/>
              <a:gd name="T4" fmla="*/ 0 w 1776"/>
              <a:gd name="T5" fmla="*/ 0 h 367"/>
              <a:gd name="T6" fmla="*/ 0 w 1776"/>
              <a:gd name="T7" fmla="*/ 0 h 367"/>
              <a:gd name="T8" fmla="*/ 0 60000 65536"/>
              <a:gd name="T9" fmla="*/ 0 60000 65536"/>
              <a:gd name="T10" fmla="*/ 0 60000 65536"/>
              <a:gd name="T11" fmla="*/ 0 60000 65536"/>
              <a:gd name="T12" fmla="*/ 0 w 1776"/>
              <a:gd name="T13" fmla="*/ 0 h 367"/>
              <a:gd name="T14" fmla="*/ 1776 w 1776"/>
              <a:gd name="T15" fmla="*/ 367 h 367"/>
            </a:gdLst>
            <a:ahLst/>
            <a:cxnLst>
              <a:cxn ang="T8">
                <a:pos x="T0" y="T1"/>
              </a:cxn>
              <a:cxn ang="T9">
                <a:pos x="T2" y="T3"/>
              </a:cxn>
              <a:cxn ang="T10">
                <a:pos x="T4" y="T5"/>
              </a:cxn>
              <a:cxn ang="T11">
                <a:pos x="T6" y="T7"/>
              </a:cxn>
            </a:cxnLst>
            <a:rect l="T12" t="T13" r="T14" b="T15"/>
            <a:pathLst>
              <a:path w="1776" h="367">
                <a:moveTo>
                  <a:pt x="193" y="0"/>
                </a:moveTo>
                <a:lnTo>
                  <a:pt x="0" y="195"/>
                </a:lnTo>
                <a:lnTo>
                  <a:pt x="1776" y="367"/>
                </a:lnTo>
                <a:lnTo>
                  <a:pt x="193" y="0"/>
                </a:lnTo>
                <a:close/>
              </a:path>
            </a:pathLst>
          </a:custGeom>
          <a:solidFill>
            <a:srgbClr val="000000"/>
          </a:solidFill>
          <a:ln w="12700">
            <a:solidFill>
              <a:srgbClr val="000000"/>
            </a:solidFill>
            <a:round/>
            <a:headEnd/>
            <a:tailEnd/>
          </a:ln>
        </xdr:spPr>
      </xdr:sp>
      <xdr:sp macro="" textlink="">
        <xdr:nvSpPr>
          <xdr:cNvPr id="24" name="Freeform 23">
            <a:extLst>
              <a:ext uri="{FF2B5EF4-FFF2-40B4-BE49-F238E27FC236}">
                <a16:creationId xmlns:a16="http://schemas.microsoft.com/office/drawing/2014/main" id="{00000000-0008-0000-0000-000018000000}"/>
              </a:ext>
            </a:extLst>
          </xdr:cNvPr>
          <xdr:cNvSpPr>
            <a:spLocks/>
          </xdr:cNvSpPr>
        </xdr:nvSpPr>
        <xdr:spPr bwMode="auto">
          <a:xfrm>
            <a:off x="890" y="170"/>
            <a:ext cx="37" cy="8"/>
          </a:xfrm>
          <a:custGeom>
            <a:avLst/>
            <a:gdLst>
              <a:gd name="T0" fmla="*/ 0 w 1776"/>
              <a:gd name="T1" fmla="*/ 0 h 367"/>
              <a:gd name="T2" fmla="*/ 0 w 1776"/>
              <a:gd name="T3" fmla="*/ 0 h 367"/>
              <a:gd name="T4" fmla="*/ 0 w 1776"/>
              <a:gd name="T5" fmla="*/ 0 h 367"/>
              <a:gd name="T6" fmla="*/ 0 w 1776"/>
              <a:gd name="T7" fmla="*/ 0 h 367"/>
              <a:gd name="T8" fmla="*/ 0 60000 65536"/>
              <a:gd name="T9" fmla="*/ 0 60000 65536"/>
              <a:gd name="T10" fmla="*/ 0 60000 65536"/>
              <a:gd name="T11" fmla="*/ 0 60000 65536"/>
              <a:gd name="T12" fmla="*/ 0 w 1776"/>
              <a:gd name="T13" fmla="*/ 0 h 367"/>
              <a:gd name="T14" fmla="*/ 1776 w 1776"/>
              <a:gd name="T15" fmla="*/ 367 h 367"/>
            </a:gdLst>
            <a:ahLst/>
            <a:cxnLst>
              <a:cxn ang="T8">
                <a:pos x="T0" y="T1"/>
              </a:cxn>
              <a:cxn ang="T9">
                <a:pos x="T2" y="T3"/>
              </a:cxn>
              <a:cxn ang="T10">
                <a:pos x="T4" y="T5"/>
              </a:cxn>
              <a:cxn ang="T11">
                <a:pos x="T6" y="T7"/>
              </a:cxn>
            </a:cxnLst>
            <a:rect l="T12" t="T13" r="T14" b="T15"/>
            <a:pathLst>
              <a:path w="1776" h="367">
                <a:moveTo>
                  <a:pt x="193" y="0"/>
                </a:moveTo>
                <a:lnTo>
                  <a:pt x="0" y="195"/>
                </a:lnTo>
                <a:lnTo>
                  <a:pt x="1776" y="367"/>
                </a:lnTo>
                <a:lnTo>
                  <a:pt x="193"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Freeform 24">
            <a:extLst>
              <a:ext uri="{FF2B5EF4-FFF2-40B4-BE49-F238E27FC236}">
                <a16:creationId xmlns:a16="http://schemas.microsoft.com/office/drawing/2014/main" id="{00000000-0008-0000-0000-000019000000}"/>
              </a:ext>
            </a:extLst>
          </xdr:cNvPr>
          <xdr:cNvSpPr>
            <a:spLocks/>
          </xdr:cNvSpPr>
        </xdr:nvSpPr>
        <xdr:spPr bwMode="auto">
          <a:xfrm>
            <a:off x="847" y="170"/>
            <a:ext cx="36" cy="8"/>
          </a:xfrm>
          <a:custGeom>
            <a:avLst/>
            <a:gdLst>
              <a:gd name="T0" fmla="*/ 0 w 1777"/>
              <a:gd name="T1" fmla="*/ 0 h 367"/>
              <a:gd name="T2" fmla="*/ 0 w 1777"/>
              <a:gd name="T3" fmla="*/ 0 h 367"/>
              <a:gd name="T4" fmla="*/ 0 w 1777"/>
              <a:gd name="T5" fmla="*/ 0 h 367"/>
              <a:gd name="T6" fmla="*/ 0 w 1777"/>
              <a:gd name="T7" fmla="*/ 0 h 367"/>
              <a:gd name="T8" fmla="*/ 0 60000 65536"/>
              <a:gd name="T9" fmla="*/ 0 60000 65536"/>
              <a:gd name="T10" fmla="*/ 0 60000 65536"/>
              <a:gd name="T11" fmla="*/ 0 60000 65536"/>
              <a:gd name="T12" fmla="*/ 0 w 1777"/>
              <a:gd name="T13" fmla="*/ 0 h 367"/>
              <a:gd name="T14" fmla="*/ 1777 w 1777"/>
              <a:gd name="T15" fmla="*/ 367 h 367"/>
            </a:gdLst>
            <a:ahLst/>
            <a:cxnLst>
              <a:cxn ang="T8">
                <a:pos x="T0" y="T1"/>
              </a:cxn>
              <a:cxn ang="T9">
                <a:pos x="T2" y="T3"/>
              </a:cxn>
              <a:cxn ang="T10">
                <a:pos x="T4" y="T5"/>
              </a:cxn>
              <a:cxn ang="T11">
                <a:pos x="T6" y="T7"/>
              </a:cxn>
            </a:cxnLst>
            <a:rect l="T12" t="T13" r="T14" b="T15"/>
            <a:pathLst>
              <a:path w="1777" h="367">
                <a:moveTo>
                  <a:pt x="1582" y="0"/>
                </a:moveTo>
                <a:lnTo>
                  <a:pt x="0" y="367"/>
                </a:lnTo>
                <a:lnTo>
                  <a:pt x="1777" y="195"/>
                </a:lnTo>
                <a:lnTo>
                  <a:pt x="1582" y="0"/>
                </a:lnTo>
                <a:close/>
              </a:path>
            </a:pathLst>
          </a:custGeom>
          <a:solidFill>
            <a:srgbClr val="000000"/>
          </a:solidFill>
          <a:ln w="12700">
            <a:solidFill>
              <a:srgbClr val="000000"/>
            </a:solidFill>
            <a:round/>
            <a:headEnd/>
            <a:tailEnd/>
          </a:ln>
        </xdr:spPr>
      </xdr:sp>
      <xdr:sp macro="" textlink="">
        <xdr:nvSpPr>
          <xdr:cNvPr id="26" name="Freeform 25">
            <a:extLst>
              <a:ext uri="{FF2B5EF4-FFF2-40B4-BE49-F238E27FC236}">
                <a16:creationId xmlns:a16="http://schemas.microsoft.com/office/drawing/2014/main" id="{00000000-0008-0000-0000-00001A000000}"/>
              </a:ext>
            </a:extLst>
          </xdr:cNvPr>
          <xdr:cNvSpPr>
            <a:spLocks/>
          </xdr:cNvSpPr>
        </xdr:nvSpPr>
        <xdr:spPr bwMode="auto">
          <a:xfrm>
            <a:off x="847" y="170"/>
            <a:ext cx="36" cy="8"/>
          </a:xfrm>
          <a:custGeom>
            <a:avLst/>
            <a:gdLst>
              <a:gd name="T0" fmla="*/ 0 w 1777"/>
              <a:gd name="T1" fmla="*/ 0 h 367"/>
              <a:gd name="T2" fmla="*/ 0 w 1777"/>
              <a:gd name="T3" fmla="*/ 0 h 367"/>
              <a:gd name="T4" fmla="*/ 0 w 1777"/>
              <a:gd name="T5" fmla="*/ 0 h 367"/>
              <a:gd name="T6" fmla="*/ 0 w 1777"/>
              <a:gd name="T7" fmla="*/ 0 h 367"/>
              <a:gd name="T8" fmla="*/ 0 60000 65536"/>
              <a:gd name="T9" fmla="*/ 0 60000 65536"/>
              <a:gd name="T10" fmla="*/ 0 60000 65536"/>
              <a:gd name="T11" fmla="*/ 0 60000 65536"/>
              <a:gd name="T12" fmla="*/ 0 w 1777"/>
              <a:gd name="T13" fmla="*/ 0 h 367"/>
              <a:gd name="T14" fmla="*/ 1777 w 1777"/>
              <a:gd name="T15" fmla="*/ 367 h 367"/>
            </a:gdLst>
            <a:ahLst/>
            <a:cxnLst>
              <a:cxn ang="T8">
                <a:pos x="T0" y="T1"/>
              </a:cxn>
              <a:cxn ang="T9">
                <a:pos x="T2" y="T3"/>
              </a:cxn>
              <a:cxn ang="T10">
                <a:pos x="T4" y="T5"/>
              </a:cxn>
              <a:cxn ang="T11">
                <a:pos x="T6" y="T7"/>
              </a:cxn>
            </a:cxnLst>
            <a:rect l="T12" t="T13" r="T14" b="T15"/>
            <a:pathLst>
              <a:path w="1777" h="367">
                <a:moveTo>
                  <a:pt x="1582" y="0"/>
                </a:moveTo>
                <a:lnTo>
                  <a:pt x="0" y="367"/>
                </a:lnTo>
                <a:lnTo>
                  <a:pt x="1777" y="195"/>
                </a:lnTo>
                <a:lnTo>
                  <a:pt x="158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 name="Freeform 26">
            <a:extLst>
              <a:ext uri="{FF2B5EF4-FFF2-40B4-BE49-F238E27FC236}">
                <a16:creationId xmlns:a16="http://schemas.microsoft.com/office/drawing/2014/main" id="{00000000-0008-0000-0000-00001B000000}"/>
              </a:ext>
            </a:extLst>
          </xdr:cNvPr>
          <xdr:cNvSpPr>
            <a:spLocks/>
          </xdr:cNvSpPr>
        </xdr:nvSpPr>
        <xdr:spPr bwMode="auto">
          <a:xfrm>
            <a:off x="879" y="159"/>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365" y="0"/>
                </a:moveTo>
                <a:lnTo>
                  <a:pt x="0" y="551"/>
                </a:lnTo>
                <a:lnTo>
                  <a:pt x="195" y="746"/>
                </a:lnTo>
                <a:lnTo>
                  <a:pt x="365" y="0"/>
                </a:lnTo>
                <a:close/>
              </a:path>
            </a:pathLst>
          </a:custGeom>
          <a:solidFill>
            <a:srgbClr val="000000"/>
          </a:solidFill>
          <a:ln w="12700">
            <a:solidFill>
              <a:srgbClr val="000000"/>
            </a:solidFill>
            <a:round/>
            <a:headEnd/>
            <a:tailEnd/>
          </a:ln>
        </xdr:spPr>
      </xdr:sp>
      <xdr:sp macro="" textlink="">
        <xdr:nvSpPr>
          <xdr:cNvPr id="28" name="Freeform 27">
            <a:extLst>
              <a:ext uri="{FF2B5EF4-FFF2-40B4-BE49-F238E27FC236}">
                <a16:creationId xmlns:a16="http://schemas.microsoft.com/office/drawing/2014/main" id="{00000000-0008-0000-0000-00001C000000}"/>
              </a:ext>
            </a:extLst>
          </xdr:cNvPr>
          <xdr:cNvSpPr>
            <a:spLocks/>
          </xdr:cNvSpPr>
        </xdr:nvSpPr>
        <xdr:spPr bwMode="auto">
          <a:xfrm>
            <a:off x="879" y="159"/>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365" y="0"/>
                </a:moveTo>
                <a:lnTo>
                  <a:pt x="0" y="551"/>
                </a:lnTo>
                <a:lnTo>
                  <a:pt x="195" y="746"/>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Freeform 28">
            <a:extLst>
              <a:ext uri="{FF2B5EF4-FFF2-40B4-BE49-F238E27FC236}">
                <a16:creationId xmlns:a16="http://schemas.microsoft.com/office/drawing/2014/main" id="{00000000-0008-0000-0000-00001D000000}"/>
              </a:ext>
            </a:extLst>
          </xdr:cNvPr>
          <xdr:cNvSpPr>
            <a:spLocks/>
          </xdr:cNvSpPr>
        </xdr:nvSpPr>
        <xdr:spPr bwMode="auto">
          <a:xfrm>
            <a:off x="887" y="159"/>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0" y="0"/>
                </a:moveTo>
                <a:lnTo>
                  <a:pt x="172" y="746"/>
                </a:lnTo>
                <a:lnTo>
                  <a:pt x="365" y="551"/>
                </a:lnTo>
                <a:lnTo>
                  <a:pt x="0" y="0"/>
                </a:lnTo>
                <a:close/>
              </a:path>
            </a:pathLst>
          </a:custGeom>
          <a:solidFill>
            <a:srgbClr val="000000"/>
          </a:solidFill>
          <a:ln w="12700">
            <a:solidFill>
              <a:srgbClr val="000000"/>
            </a:solidFill>
            <a:round/>
            <a:headEnd/>
            <a:tailEnd/>
          </a:ln>
        </xdr:spPr>
      </xdr:sp>
      <xdr:sp macro="" textlink="">
        <xdr:nvSpPr>
          <xdr:cNvPr id="30" name="Freeform 29">
            <a:extLst>
              <a:ext uri="{FF2B5EF4-FFF2-40B4-BE49-F238E27FC236}">
                <a16:creationId xmlns:a16="http://schemas.microsoft.com/office/drawing/2014/main" id="{00000000-0008-0000-0000-00001E000000}"/>
              </a:ext>
            </a:extLst>
          </xdr:cNvPr>
          <xdr:cNvSpPr>
            <a:spLocks/>
          </xdr:cNvSpPr>
        </xdr:nvSpPr>
        <xdr:spPr bwMode="auto">
          <a:xfrm>
            <a:off x="887" y="159"/>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0" y="0"/>
                </a:moveTo>
                <a:lnTo>
                  <a:pt x="172" y="746"/>
                </a:lnTo>
                <a:lnTo>
                  <a:pt x="365" y="551"/>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1" name="Freeform 30">
            <a:extLst>
              <a:ext uri="{FF2B5EF4-FFF2-40B4-BE49-F238E27FC236}">
                <a16:creationId xmlns:a16="http://schemas.microsoft.com/office/drawing/2014/main" id="{00000000-0008-0000-0000-00001F000000}"/>
              </a:ext>
            </a:extLst>
          </xdr:cNvPr>
          <xdr:cNvSpPr>
            <a:spLocks/>
          </xdr:cNvSpPr>
        </xdr:nvSpPr>
        <xdr:spPr bwMode="auto">
          <a:xfrm>
            <a:off x="879" y="138"/>
            <a:ext cx="8"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365" y="0"/>
                </a:moveTo>
                <a:lnTo>
                  <a:pt x="0" y="1590"/>
                </a:lnTo>
                <a:lnTo>
                  <a:pt x="365" y="1039"/>
                </a:lnTo>
                <a:lnTo>
                  <a:pt x="365" y="0"/>
                </a:lnTo>
                <a:close/>
              </a:path>
            </a:pathLst>
          </a:custGeom>
          <a:solidFill>
            <a:srgbClr val="000000"/>
          </a:solidFill>
          <a:ln w="12700">
            <a:solidFill>
              <a:srgbClr val="000000"/>
            </a:solidFill>
            <a:round/>
            <a:headEnd/>
            <a:tailEnd/>
          </a:ln>
        </xdr:spPr>
      </xdr:sp>
      <xdr:sp macro="" textlink="">
        <xdr:nvSpPr>
          <xdr:cNvPr id="32" name="Freeform 31">
            <a:extLst>
              <a:ext uri="{FF2B5EF4-FFF2-40B4-BE49-F238E27FC236}">
                <a16:creationId xmlns:a16="http://schemas.microsoft.com/office/drawing/2014/main" id="{00000000-0008-0000-0000-000020000000}"/>
              </a:ext>
            </a:extLst>
          </xdr:cNvPr>
          <xdr:cNvSpPr>
            <a:spLocks/>
          </xdr:cNvSpPr>
        </xdr:nvSpPr>
        <xdr:spPr bwMode="auto">
          <a:xfrm>
            <a:off x="879" y="138"/>
            <a:ext cx="8"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365" y="0"/>
                </a:moveTo>
                <a:lnTo>
                  <a:pt x="0" y="1590"/>
                </a:lnTo>
                <a:lnTo>
                  <a:pt x="365" y="1039"/>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Freeform 32">
            <a:extLst>
              <a:ext uri="{FF2B5EF4-FFF2-40B4-BE49-F238E27FC236}">
                <a16:creationId xmlns:a16="http://schemas.microsoft.com/office/drawing/2014/main" id="{00000000-0008-0000-0000-000021000000}"/>
              </a:ext>
            </a:extLst>
          </xdr:cNvPr>
          <xdr:cNvSpPr>
            <a:spLocks/>
          </xdr:cNvSpPr>
        </xdr:nvSpPr>
        <xdr:spPr bwMode="auto">
          <a:xfrm>
            <a:off x="887" y="138"/>
            <a:ext cx="7"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0" y="0"/>
                </a:moveTo>
                <a:lnTo>
                  <a:pt x="0" y="1039"/>
                </a:lnTo>
                <a:lnTo>
                  <a:pt x="365" y="1590"/>
                </a:lnTo>
                <a:lnTo>
                  <a:pt x="0" y="0"/>
                </a:lnTo>
                <a:close/>
              </a:path>
            </a:pathLst>
          </a:custGeom>
          <a:solidFill>
            <a:srgbClr val="000000"/>
          </a:solidFill>
          <a:ln w="12700">
            <a:solidFill>
              <a:srgbClr val="000000"/>
            </a:solidFill>
            <a:round/>
            <a:headEnd/>
            <a:tailEnd/>
          </a:ln>
        </xdr:spPr>
      </xdr:sp>
      <xdr:sp macro="" textlink="">
        <xdr:nvSpPr>
          <xdr:cNvPr id="34" name="Freeform 33">
            <a:extLst>
              <a:ext uri="{FF2B5EF4-FFF2-40B4-BE49-F238E27FC236}">
                <a16:creationId xmlns:a16="http://schemas.microsoft.com/office/drawing/2014/main" id="{00000000-0008-0000-0000-000022000000}"/>
              </a:ext>
            </a:extLst>
          </xdr:cNvPr>
          <xdr:cNvSpPr>
            <a:spLocks/>
          </xdr:cNvSpPr>
        </xdr:nvSpPr>
        <xdr:spPr bwMode="auto">
          <a:xfrm>
            <a:off x="887" y="138"/>
            <a:ext cx="7"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0" y="0"/>
                </a:moveTo>
                <a:lnTo>
                  <a:pt x="0" y="1039"/>
                </a:lnTo>
                <a:lnTo>
                  <a:pt x="365" y="159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Line 34">
            <a:extLst>
              <a:ext uri="{FF2B5EF4-FFF2-40B4-BE49-F238E27FC236}">
                <a16:creationId xmlns:a16="http://schemas.microsoft.com/office/drawing/2014/main" id="{00000000-0008-0000-0000-000023000000}"/>
              </a:ext>
            </a:extLst>
          </xdr:cNvPr>
          <xdr:cNvSpPr>
            <a:spLocks noChangeShapeType="1"/>
          </xdr:cNvSpPr>
        </xdr:nvSpPr>
        <xdr:spPr bwMode="auto">
          <a:xfrm flipH="1" flipV="1">
            <a:off x="887" y="138"/>
            <a:ext cx="7" cy="3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35">
            <a:extLst>
              <a:ext uri="{FF2B5EF4-FFF2-40B4-BE49-F238E27FC236}">
                <a16:creationId xmlns:a16="http://schemas.microsoft.com/office/drawing/2014/main" id="{00000000-0008-0000-0000-000024000000}"/>
              </a:ext>
            </a:extLst>
          </xdr:cNvPr>
          <xdr:cNvSpPr>
            <a:spLocks noChangeShapeType="1"/>
          </xdr:cNvSpPr>
        </xdr:nvSpPr>
        <xdr:spPr bwMode="auto">
          <a:xfrm flipH="1">
            <a:off x="879" y="138"/>
            <a:ext cx="8" cy="3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36">
            <a:extLst>
              <a:ext uri="{FF2B5EF4-FFF2-40B4-BE49-F238E27FC236}">
                <a16:creationId xmlns:a16="http://schemas.microsoft.com/office/drawing/2014/main" id="{00000000-0008-0000-0000-000025000000}"/>
              </a:ext>
            </a:extLst>
          </xdr:cNvPr>
          <xdr:cNvSpPr>
            <a:spLocks noChangeShapeType="1"/>
          </xdr:cNvSpPr>
        </xdr:nvSpPr>
        <xdr:spPr bwMode="auto">
          <a:xfrm flipH="1">
            <a:off x="847" y="170"/>
            <a:ext cx="32" cy="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37">
            <a:extLst>
              <a:ext uri="{FF2B5EF4-FFF2-40B4-BE49-F238E27FC236}">
                <a16:creationId xmlns:a16="http://schemas.microsoft.com/office/drawing/2014/main" id="{00000000-0008-0000-0000-000026000000}"/>
              </a:ext>
            </a:extLst>
          </xdr:cNvPr>
          <xdr:cNvSpPr>
            <a:spLocks noChangeShapeType="1"/>
          </xdr:cNvSpPr>
        </xdr:nvSpPr>
        <xdr:spPr bwMode="auto">
          <a:xfrm>
            <a:off x="847" y="178"/>
            <a:ext cx="32" cy="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Line 38">
            <a:extLst>
              <a:ext uri="{FF2B5EF4-FFF2-40B4-BE49-F238E27FC236}">
                <a16:creationId xmlns:a16="http://schemas.microsoft.com/office/drawing/2014/main" id="{00000000-0008-0000-0000-000027000000}"/>
              </a:ext>
            </a:extLst>
          </xdr:cNvPr>
          <xdr:cNvSpPr>
            <a:spLocks noChangeShapeType="1"/>
          </xdr:cNvSpPr>
        </xdr:nvSpPr>
        <xdr:spPr bwMode="auto">
          <a:xfrm>
            <a:off x="879" y="185"/>
            <a:ext cx="8" cy="3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39">
            <a:extLst>
              <a:ext uri="{FF2B5EF4-FFF2-40B4-BE49-F238E27FC236}">
                <a16:creationId xmlns:a16="http://schemas.microsoft.com/office/drawing/2014/main" id="{00000000-0008-0000-0000-000028000000}"/>
              </a:ext>
            </a:extLst>
          </xdr:cNvPr>
          <xdr:cNvSpPr>
            <a:spLocks noChangeShapeType="1"/>
          </xdr:cNvSpPr>
        </xdr:nvSpPr>
        <xdr:spPr bwMode="auto">
          <a:xfrm flipV="1">
            <a:off x="887" y="185"/>
            <a:ext cx="7" cy="3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40">
            <a:extLst>
              <a:ext uri="{FF2B5EF4-FFF2-40B4-BE49-F238E27FC236}">
                <a16:creationId xmlns:a16="http://schemas.microsoft.com/office/drawing/2014/main" id="{00000000-0008-0000-0000-000029000000}"/>
              </a:ext>
            </a:extLst>
          </xdr:cNvPr>
          <xdr:cNvSpPr>
            <a:spLocks noChangeShapeType="1"/>
          </xdr:cNvSpPr>
        </xdr:nvSpPr>
        <xdr:spPr bwMode="auto">
          <a:xfrm flipV="1">
            <a:off x="894" y="178"/>
            <a:ext cx="33" cy="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Line 41">
            <a:extLst>
              <a:ext uri="{FF2B5EF4-FFF2-40B4-BE49-F238E27FC236}">
                <a16:creationId xmlns:a16="http://schemas.microsoft.com/office/drawing/2014/main" id="{00000000-0008-0000-0000-00002A000000}"/>
              </a:ext>
            </a:extLst>
          </xdr:cNvPr>
          <xdr:cNvSpPr>
            <a:spLocks noChangeShapeType="1"/>
          </xdr:cNvSpPr>
        </xdr:nvSpPr>
        <xdr:spPr bwMode="auto">
          <a:xfrm flipH="1" flipV="1">
            <a:off x="894" y="170"/>
            <a:ext cx="33" cy="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Line 42">
            <a:extLst>
              <a:ext uri="{FF2B5EF4-FFF2-40B4-BE49-F238E27FC236}">
                <a16:creationId xmlns:a16="http://schemas.microsoft.com/office/drawing/2014/main" id="{00000000-0008-0000-0000-00002B000000}"/>
              </a:ext>
            </a:extLst>
          </xdr:cNvPr>
          <xdr:cNvSpPr>
            <a:spLocks noChangeShapeType="1"/>
          </xdr:cNvSpPr>
        </xdr:nvSpPr>
        <xdr:spPr bwMode="auto">
          <a:xfrm flipH="1" flipV="1">
            <a:off x="887" y="159"/>
            <a:ext cx="3"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43">
            <a:extLst>
              <a:ext uri="{FF2B5EF4-FFF2-40B4-BE49-F238E27FC236}">
                <a16:creationId xmlns:a16="http://schemas.microsoft.com/office/drawing/2014/main" id="{00000000-0008-0000-0000-00002C000000}"/>
              </a:ext>
            </a:extLst>
          </xdr:cNvPr>
          <xdr:cNvSpPr>
            <a:spLocks noChangeShapeType="1"/>
          </xdr:cNvSpPr>
        </xdr:nvSpPr>
        <xdr:spPr bwMode="auto">
          <a:xfrm flipH="1">
            <a:off x="883" y="159"/>
            <a:ext cx="4"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Line 44">
            <a:extLst>
              <a:ext uri="{FF2B5EF4-FFF2-40B4-BE49-F238E27FC236}">
                <a16:creationId xmlns:a16="http://schemas.microsoft.com/office/drawing/2014/main" id="{00000000-0008-0000-0000-00002D000000}"/>
              </a:ext>
            </a:extLst>
          </xdr:cNvPr>
          <xdr:cNvSpPr>
            <a:spLocks noChangeShapeType="1"/>
          </xdr:cNvSpPr>
        </xdr:nvSpPr>
        <xdr:spPr bwMode="auto">
          <a:xfrm flipH="1">
            <a:off x="868" y="174"/>
            <a:ext cx="15" cy="4"/>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 name="Line 45">
            <a:extLst>
              <a:ext uri="{FF2B5EF4-FFF2-40B4-BE49-F238E27FC236}">
                <a16:creationId xmlns:a16="http://schemas.microsoft.com/office/drawing/2014/main" id="{00000000-0008-0000-0000-00002E000000}"/>
              </a:ext>
            </a:extLst>
          </xdr:cNvPr>
          <xdr:cNvSpPr>
            <a:spLocks noChangeShapeType="1"/>
          </xdr:cNvSpPr>
        </xdr:nvSpPr>
        <xdr:spPr bwMode="auto">
          <a:xfrm>
            <a:off x="868" y="178"/>
            <a:ext cx="15" cy="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 name="Line 46">
            <a:extLst>
              <a:ext uri="{FF2B5EF4-FFF2-40B4-BE49-F238E27FC236}">
                <a16:creationId xmlns:a16="http://schemas.microsoft.com/office/drawing/2014/main" id="{00000000-0008-0000-0000-00002F000000}"/>
              </a:ext>
            </a:extLst>
          </xdr:cNvPr>
          <xdr:cNvSpPr>
            <a:spLocks noChangeShapeType="1"/>
          </xdr:cNvSpPr>
        </xdr:nvSpPr>
        <xdr:spPr bwMode="auto">
          <a:xfrm>
            <a:off x="883" y="181"/>
            <a:ext cx="4"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47">
            <a:extLst>
              <a:ext uri="{FF2B5EF4-FFF2-40B4-BE49-F238E27FC236}">
                <a16:creationId xmlns:a16="http://schemas.microsoft.com/office/drawing/2014/main" id="{00000000-0008-0000-0000-000030000000}"/>
              </a:ext>
            </a:extLst>
          </xdr:cNvPr>
          <xdr:cNvSpPr>
            <a:spLocks noChangeShapeType="1"/>
          </xdr:cNvSpPr>
        </xdr:nvSpPr>
        <xdr:spPr bwMode="auto">
          <a:xfrm flipV="1">
            <a:off x="887" y="181"/>
            <a:ext cx="3"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Line 48">
            <a:extLst>
              <a:ext uri="{FF2B5EF4-FFF2-40B4-BE49-F238E27FC236}">
                <a16:creationId xmlns:a16="http://schemas.microsoft.com/office/drawing/2014/main" id="{00000000-0008-0000-0000-000031000000}"/>
              </a:ext>
            </a:extLst>
          </xdr:cNvPr>
          <xdr:cNvSpPr>
            <a:spLocks noChangeShapeType="1"/>
          </xdr:cNvSpPr>
        </xdr:nvSpPr>
        <xdr:spPr bwMode="auto">
          <a:xfrm flipV="1">
            <a:off x="890" y="178"/>
            <a:ext cx="16" cy="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Line 49">
            <a:extLst>
              <a:ext uri="{FF2B5EF4-FFF2-40B4-BE49-F238E27FC236}">
                <a16:creationId xmlns:a16="http://schemas.microsoft.com/office/drawing/2014/main" id="{00000000-0008-0000-0000-000032000000}"/>
              </a:ext>
            </a:extLst>
          </xdr:cNvPr>
          <xdr:cNvSpPr>
            <a:spLocks noChangeShapeType="1"/>
          </xdr:cNvSpPr>
        </xdr:nvSpPr>
        <xdr:spPr bwMode="auto">
          <a:xfrm flipH="1" flipV="1">
            <a:off x="890" y="174"/>
            <a:ext cx="16" cy="4"/>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Oval 50">
            <a:extLst>
              <a:ext uri="{FF2B5EF4-FFF2-40B4-BE49-F238E27FC236}">
                <a16:creationId xmlns:a16="http://schemas.microsoft.com/office/drawing/2014/main" id="{00000000-0008-0000-0000-000033000000}"/>
              </a:ext>
            </a:extLst>
          </xdr:cNvPr>
          <xdr:cNvSpPr>
            <a:spLocks noChangeArrowheads="1"/>
          </xdr:cNvSpPr>
        </xdr:nvSpPr>
        <xdr:spPr bwMode="auto">
          <a:xfrm>
            <a:off x="846" y="138"/>
            <a:ext cx="81" cy="81"/>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85725</xdr:colOff>
      <xdr:row>1</xdr:row>
      <xdr:rowOff>161925</xdr:rowOff>
    </xdr:from>
    <xdr:to>
      <xdr:col>2</xdr:col>
      <xdr:colOff>123825</xdr:colOff>
      <xdr:row>2</xdr:row>
      <xdr:rowOff>217170</xdr:rowOff>
    </xdr:to>
    <xdr:grpSp>
      <xdr:nvGrpSpPr>
        <xdr:cNvPr id="52" name="Group 1">
          <a:extLst>
            <a:ext uri="{FF2B5EF4-FFF2-40B4-BE49-F238E27FC236}">
              <a16:creationId xmlns:a16="http://schemas.microsoft.com/office/drawing/2014/main" id="{00000000-0008-0000-0000-000034000000}"/>
            </a:ext>
          </a:extLst>
        </xdr:cNvPr>
        <xdr:cNvGrpSpPr>
          <a:grpSpLocks/>
        </xdr:cNvGrpSpPr>
      </xdr:nvGrpSpPr>
      <xdr:grpSpPr bwMode="auto">
        <a:xfrm>
          <a:off x="242607" y="542925"/>
          <a:ext cx="497542" cy="436245"/>
          <a:chOff x="846" y="138"/>
          <a:chExt cx="81" cy="81"/>
        </a:xfrm>
      </xdr:grpSpPr>
      <xdr:sp macro="" textlink="">
        <xdr:nvSpPr>
          <xdr:cNvPr id="53" name="Freeform 2">
            <a:extLst>
              <a:ext uri="{FF2B5EF4-FFF2-40B4-BE49-F238E27FC236}">
                <a16:creationId xmlns:a16="http://schemas.microsoft.com/office/drawing/2014/main" id="{00000000-0008-0000-0000-000035000000}"/>
              </a:ext>
            </a:extLst>
          </xdr:cNvPr>
          <xdr:cNvSpPr>
            <a:spLocks/>
          </xdr:cNvSpPr>
        </xdr:nvSpPr>
        <xdr:spPr bwMode="auto">
          <a:xfrm>
            <a:off x="887" y="185"/>
            <a:ext cx="7"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365" y="0"/>
                </a:moveTo>
                <a:lnTo>
                  <a:pt x="0" y="550"/>
                </a:lnTo>
                <a:lnTo>
                  <a:pt x="0" y="1591"/>
                </a:lnTo>
                <a:lnTo>
                  <a:pt x="365" y="0"/>
                </a:lnTo>
                <a:close/>
              </a:path>
            </a:pathLst>
          </a:custGeom>
          <a:solidFill>
            <a:srgbClr val="000000"/>
          </a:solidFill>
          <a:ln w="12700">
            <a:solidFill>
              <a:srgbClr val="000000"/>
            </a:solidFill>
            <a:round/>
            <a:headEnd/>
            <a:tailEnd/>
          </a:ln>
        </xdr:spPr>
      </xdr:sp>
      <xdr:sp macro="" textlink="">
        <xdr:nvSpPr>
          <xdr:cNvPr id="54" name="Freeform 3">
            <a:extLst>
              <a:ext uri="{FF2B5EF4-FFF2-40B4-BE49-F238E27FC236}">
                <a16:creationId xmlns:a16="http://schemas.microsoft.com/office/drawing/2014/main" id="{00000000-0008-0000-0000-000036000000}"/>
              </a:ext>
            </a:extLst>
          </xdr:cNvPr>
          <xdr:cNvSpPr>
            <a:spLocks/>
          </xdr:cNvSpPr>
        </xdr:nvSpPr>
        <xdr:spPr bwMode="auto">
          <a:xfrm>
            <a:off x="887" y="185"/>
            <a:ext cx="7"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365" y="0"/>
                </a:moveTo>
                <a:lnTo>
                  <a:pt x="0" y="550"/>
                </a:lnTo>
                <a:lnTo>
                  <a:pt x="0" y="1591"/>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5" name="Freeform 4">
            <a:extLst>
              <a:ext uri="{FF2B5EF4-FFF2-40B4-BE49-F238E27FC236}">
                <a16:creationId xmlns:a16="http://schemas.microsoft.com/office/drawing/2014/main" id="{00000000-0008-0000-0000-000037000000}"/>
              </a:ext>
            </a:extLst>
          </xdr:cNvPr>
          <xdr:cNvSpPr>
            <a:spLocks/>
          </xdr:cNvSpPr>
        </xdr:nvSpPr>
        <xdr:spPr bwMode="auto">
          <a:xfrm>
            <a:off x="879" y="185"/>
            <a:ext cx="8"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0" y="0"/>
                </a:moveTo>
                <a:lnTo>
                  <a:pt x="365" y="1591"/>
                </a:lnTo>
                <a:lnTo>
                  <a:pt x="365" y="550"/>
                </a:lnTo>
                <a:lnTo>
                  <a:pt x="0" y="0"/>
                </a:lnTo>
                <a:close/>
              </a:path>
            </a:pathLst>
          </a:custGeom>
          <a:solidFill>
            <a:srgbClr val="000000"/>
          </a:solidFill>
          <a:ln w="12700">
            <a:solidFill>
              <a:srgbClr val="000000"/>
            </a:solidFill>
            <a:round/>
            <a:headEnd/>
            <a:tailEnd/>
          </a:ln>
        </xdr:spPr>
      </xdr:sp>
      <xdr:sp macro="" textlink="">
        <xdr:nvSpPr>
          <xdr:cNvPr id="56" name="Freeform 5">
            <a:extLst>
              <a:ext uri="{FF2B5EF4-FFF2-40B4-BE49-F238E27FC236}">
                <a16:creationId xmlns:a16="http://schemas.microsoft.com/office/drawing/2014/main" id="{00000000-0008-0000-0000-000038000000}"/>
              </a:ext>
            </a:extLst>
          </xdr:cNvPr>
          <xdr:cNvSpPr>
            <a:spLocks/>
          </xdr:cNvSpPr>
        </xdr:nvSpPr>
        <xdr:spPr bwMode="auto">
          <a:xfrm>
            <a:off x="879" y="185"/>
            <a:ext cx="8"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0" y="0"/>
                </a:moveTo>
                <a:lnTo>
                  <a:pt x="365" y="1591"/>
                </a:lnTo>
                <a:lnTo>
                  <a:pt x="365" y="55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Freeform 6">
            <a:extLst>
              <a:ext uri="{FF2B5EF4-FFF2-40B4-BE49-F238E27FC236}">
                <a16:creationId xmlns:a16="http://schemas.microsoft.com/office/drawing/2014/main" id="{00000000-0008-0000-0000-000039000000}"/>
              </a:ext>
            </a:extLst>
          </xdr:cNvPr>
          <xdr:cNvSpPr>
            <a:spLocks/>
          </xdr:cNvSpPr>
        </xdr:nvSpPr>
        <xdr:spPr bwMode="auto">
          <a:xfrm>
            <a:off x="887" y="181"/>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72" y="0"/>
                </a:moveTo>
                <a:lnTo>
                  <a:pt x="0" y="746"/>
                </a:lnTo>
                <a:lnTo>
                  <a:pt x="365" y="196"/>
                </a:lnTo>
                <a:lnTo>
                  <a:pt x="172" y="0"/>
                </a:lnTo>
                <a:close/>
              </a:path>
            </a:pathLst>
          </a:custGeom>
          <a:solidFill>
            <a:srgbClr val="000000"/>
          </a:solidFill>
          <a:ln w="12700">
            <a:solidFill>
              <a:srgbClr val="000000"/>
            </a:solidFill>
            <a:round/>
            <a:headEnd/>
            <a:tailEnd/>
          </a:ln>
        </xdr:spPr>
      </xdr:sp>
      <xdr:sp macro="" textlink="">
        <xdr:nvSpPr>
          <xdr:cNvPr id="58" name="Freeform 7">
            <a:extLst>
              <a:ext uri="{FF2B5EF4-FFF2-40B4-BE49-F238E27FC236}">
                <a16:creationId xmlns:a16="http://schemas.microsoft.com/office/drawing/2014/main" id="{00000000-0008-0000-0000-00003A000000}"/>
              </a:ext>
            </a:extLst>
          </xdr:cNvPr>
          <xdr:cNvSpPr>
            <a:spLocks/>
          </xdr:cNvSpPr>
        </xdr:nvSpPr>
        <xdr:spPr bwMode="auto">
          <a:xfrm>
            <a:off x="887" y="181"/>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72" y="0"/>
                </a:moveTo>
                <a:lnTo>
                  <a:pt x="0" y="746"/>
                </a:lnTo>
                <a:lnTo>
                  <a:pt x="365" y="196"/>
                </a:lnTo>
                <a:lnTo>
                  <a:pt x="17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9" name="Freeform 8">
            <a:extLst>
              <a:ext uri="{FF2B5EF4-FFF2-40B4-BE49-F238E27FC236}">
                <a16:creationId xmlns:a16="http://schemas.microsoft.com/office/drawing/2014/main" id="{00000000-0008-0000-0000-00003B000000}"/>
              </a:ext>
            </a:extLst>
          </xdr:cNvPr>
          <xdr:cNvSpPr>
            <a:spLocks/>
          </xdr:cNvSpPr>
        </xdr:nvSpPr>
        <xdr:spPr bwMode="auto">
          <a:xfrm>
            <a:off x="879" y="181"/>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95" y="0"/>
                </a:moveTo>
                <a:lnTo>
                  <a:pt x="0" y="196"/>
                </a:lnTo>
                <a:lnTo>
                  <a:pt x="365" y="746"/>
                </a:lnTo>
                <a:lnTo>
                  <a:pt x="195" y="0"/>
                </a:lnTo>
                <a:close/>
              </a:path>
            </a:pathLst>
          </a:custGeom>
          <a:solidFill>
            <a:srgbClr val="000000"/>
          </a:solidFill>
          <a:ln w="12700">
            <a:solidFill>
              <a:srgbClr val="000000"/>
            </a:solidFill>
            <a:round/>
            <a:headEnd/>
            <a:tailEnd/>
          </a:ln>
        </xdr:spPr>
      </xdr:sp>
      <xdr:sp macro="" textlink="">
        <xdr:nvSpPr>
          <xdr:cNvPr id="60" name="Freeform 9">
            <a:extLst>
              <a:ext uri="{FF2B5EF4-FFF2-40B4-BE49-F238E27FC236}">
                <a16:creationId xmlns:a16="http://schemas.microsoft.com/office/drawing/2014/main" id="{00000000-0008-0000-0000-00003C000000}"/>
              </a:ext>
            </a:extLst>
          </xdr:cNvPr>
          <xdr:cNvSpPr>
            <a:spLocks/>
          </xdr:cNvSpPr>
        </xdr:nvSpPr>
        <xdr:spPr bwMode="auto">
          <a:xfrm>
            <a:off x="879" y="181"/>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95" y="0"/>
                </a:moveTo>
                <a:lnTo>
                  <a:pt x="0" y="196"/>
                </a:lnTo>
                <a:lnTo>
                  <a:pt x="365" y="746"/>
                </a:lnTo>
                <a:lnTo>
                  <a:pt x="19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Freeform 10">
            <a:extLst>
              <a:ext uri="{FF2B5EF4-FFF2-40B4-BE49-F238E27FC236}">
                <a16:creationId xmlns:a16="http://schemas.microsoft.com/office/drawing/2014/main" id="{00000000-0008-0000-0000-00003D000000}"/>
              </a:ext>
            </a:extLst>
          </xdr:cNvPr>
          <xdr:cNvSpPr>
            <a:spLocks/>
          </xdr:cNvSpPr>
        </xdr:nvSpPr>
        <xdr:spPr bwMode="auto">
          <a:xfrm>
            <a:off x="890" y="178"/>
            <a:ext cx="37" cy="7"/>
          </a:xfrm>
          <a:custGeom>
            <a:avLst/>
            <a:gdLst>
              <a:gd name="T0" fmla="*/ 0 w 1776"/>
              <a:gd name="T1" fmla="*/ 0 h 368"/>
              <a:gd name="T2" fmla="*/ 0 w 1776"/>
              <a:gd name="T3" fmla="*/ 0 h 368"/>
              <a:gd name="T4" fmla="*/ 0 w 1776"/>
              <a:gd name="T5" fmla="*/ 0 h 368"/>
              <a:gd name="T6" fmla="*/ 0 w 1776"/>
              <a:gd name="T7" fmla="*/ 0 h 368"/>
              <a:gd name="T8" fmla="*/ 0 60000 65536"/>
              <a:gd name="T9" fmla="*/ 0 60000 65536"/>
              <a:gd name="T10" fmla="*/ 0 60000 65536"/>
              <a:gd name="T11" fmla="*/ 0 60000 65536"/>
              <a:gd name="T12" fmla="*/ 0 w 1776"/>
              <a:gd name="T13" fmla="*/ 0 h 368"/>
              <a:gd name="T14" fmla="*/ 1776 w 1776"/>
              <a:gd name="T15" fmla="*/ 368 h 368"/>
            </a:gdLst>
            <a:ahLst/>
            <a:cxnLst>
              <a:cxn ang="T8">
                <a:pos x="T0" y="T1"/>
              </a:cxn>
              <a:cxn ang="T9">
                <a:pos x="T2" y="T3"/>
              </a:cxn>
              <a:cxn ang="T10">
                <a:pos x="T4" y="T5"/>
              </a:cxn>
              <a:cxn ang="T11">
                <a:pos x="T6" y="T7"/>
              </a:cxn>
            </a:cxnLst>
            <a:rect l="T12" t="T13" r="T14" b="T15"/>
            <a:pathLst>
              <a:path w="1776" h="368">
                <a:moveTo>
                  <a:pt x="1776" y="0"/>
                </a:moveTo>
                <a:lnTo>
                  <a:pt x="0" y="172"/>
                </a:lnTo>
                <a:lnTo>
                  <a:pt x="193" y="368"/>
                </a:lnTo>
                <a:lnTo>
                  <a:pt x="1776" y="0"/>
                </a:lnTo>
                <a:close/>
              </a:path>
            </a:pathLst>
          </a:custGeom>
          <a:solidFill>
            <a:srgbClr val="000000"/>
          </a:solidFill>
          <a:ln w="12700">
            <a:solidFill>
              <a:srgbClr val="000000"/>
            </a:solidFill>
            <a:round/>
            <a:headEnd/>
            <a:tailEnd/>
          </a:ln>
        </xdr:spPr>
      </xdr:sp>
      <xdr:sp macro="" textlink="">
        <xdr:nvSpPr>
          <xdr:cNvPr id="62" name="Freeform 11">
            <a:extLst>
              <a:ext uri="{FF2B5EF4-FFF2-40B4-BE49-F238E27FC236}">
                <a16:creationId xmlns:a16="http://schemas.microsoft.com/office/drawing/2014/main" id="{00000000-0008-0000-0000-00003E000000}"/>
              </a:ext>
            </a:extLst>
          </xdr:cNvPr>
          <xdr:cNvSpPr>
            <a:spLocks/>
          </xdr:cNvSpPr>
        </xdr:nvSpPr>
        <xdr:spPr bwMode="auto">
          <a:xfrm>
            <a:off x="890" y="178"/>
            <a:ext cx="37" cy="7"/>
          </a:xfrm>
          <a:custGeom>
            <a:avLst/>
            <a:gdLst>
              <a:gd name="T0" fmla="*/ 0 w 1776"/>
              <a:gd name="T1" fmla="*/ 0 h 368"/>
              <a:gd name="T2" fmla="*/ 0 w 1776"/>
              <a:gd name="T3" fmla="*/ 0 h 368"/>
              <a:gd name="T4" fmla="*/ 0 w 1776"/>
              <a:gd name="T5" fmla="*/ 0 h 368"/>
              <a:gd name="T6" fmla="*/ 0 w 1776"/>
              <a:gd name="T7" fmla="*/ 0 h 368"/>
              <a:gd name="T8" fmla="*/ 0 60000 65536"/>
              <a:gd name="T9" fmla="*/ 0 60000 65536"/>
              <a:gd name="T10" fmla="*/ 0 60000 65536"/>
              <a:gd name="T11" fmla="*/ 0 60000 65536"/>
              <a:gd name="T12" fmla="*/ 0 w 1776"/>
              <a:gd name="T13" fmla="*/ 0 h 368"/>
              <a:gd name="T14" fmla="*/ 1776 w 1776"/>
              <a:gd name="T15" fmla="*/ 368 h 368"/>
            </a:gdLst>
            <a:ahLst/>
            <a:cxnLst>
              <a:cxn ang="T8">
                <a:pos x="T0" y="T1"/>
              </a:cxn>
              <a:cxn ang="T9">
                <a:pos x="T2" y="T3"/>
              </a:cxn>
              <a:cxn ang="T10">
                <a:pos x="T4" y="T5"/>
              </a:cxn>
              <a:cxn ang="T11">
                <a:pos x="T6" y="T7"/>
              </a:cxn>
            </a:cxnLst>
            <a:rect l="T12" t="T13" r="T14" b="T15"/>
            <a:pathLst>
              <a:path w="1776" h="368">
                <a:moveTo>
                  <a:pt x="1776" y="0"/>
                </a:moveTo>
                <a:lnTo>
                  <a:pt x="0" y="172"/>
                </a:lnTo>
                <a:lnTo>
                  <a:pt x="193" y="368"/>
                </a:lnTo>
                <a:lnTo>
                  <a:pt x="1776"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3" name="Freeform 12">
            <a:extLst>
              <a:ext uri="{FF2B5EF4-FFF2-40B4-BE49-F238E27FC236}">
                <a16:creationId xmlns:a16="http://schemas.microsoft.com/office/drawing/2014/main" id="{00000000-0008-0000-0000-00003F000000}"/>
              </a:ext>
            </a:extLst>
          </xdr:cNvPr>
          <xdr:cNvSpPr>
            <a:spLocks/>
          </xdr:cNvSpPr>
        </xdr:nvSpPr>
        <xdr:spPr bwMode="auto">
          <a:xfrm>
            <a:off x="890" y="178"/>
            <a:ext cx="37" cy="3"/>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742" y="0"/>
                </a:moveTo>
                <a:lnTo>
                  <a:pt x="0" y="172"/>
                </a:lnTo>
                <a:lnTo>
                  <a:pt x="1776" y="0"/>
                </a:lnTo>
                <a:lnTo>
                  <a:pt x="742" y="0"/>
                </a:lnTo>
                <a:close/>
              </a:path>
            </a:pathLst>
          </a:custGeom>
          <a:solidFill>
            <a:srgbClr val="000000"/>
          </a:solidFill>
          <a:ln w="12700">
            <a:solidFill>
              <a:srgbClr val="000000"/>
            </a:solidFill>
            <a:round/>
            <a:headEnd/>
            <a:tailEnd/>
          </a:ln>
        </xdr:spPr>
      </xdr:sp>
      <xdr:sp macro="" textlink="">
        <xdr:nvSpPr>
          <xdr:cNvPr id="64" name="Freeform 13">
            <a:extLst>
              <a:ext uri="{FF2B5EF4-FFF2-40B4-BE49-F238E27FC236}">
                <a16:creationId xmlns:a16="http://schemas.microsoft.com/office/drawing/2014/main" id="{00000000-0008-0000-0000-000040000000}"/>
              </a:ext>
            </a:extLst>
          </xdr:cNvPr>
          <xdr:cNvSpPr>
            <a:spLocks/>
          </xdr:cNvSpPr>
        </xdr:nvSpPr>
        <xdr:spPr bwMode="auto">
          <a:xfrm>
            <a:off x="890" y="178"/>
            <a:ext cx="37" cy="3"/>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742" y="0"/>
                </a:moveTo>
                <a:lnTo>
                  <a:pt x="0" y="172"/>
                </a:lnTo>
                <a:lnTo>
                  <a:pt x="1776" y="0"/>
                </a:lnTo>
                <a:lnTo>
                  <a:pt x="74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 name="Freeform 14">
            <a:extLst>
              <a:ext uri="{FF2B5EF4-FFF2-40B4-BE49-F238E27FC236}">
                <a16:creationId xmlns:a16="http://schemas.microsoft.com/office/drawing/2014/main" id="{00000000-0008-0000-0000-000041000000}"/>
              </a:ext>
            </a:extLst>
          </xdr:cNvPr>
          <xdr:cNvSpPr>
            <a:spLocks/>
          </xdr:cNvSpPr>
        </xdr:nvSpPr>
        <xdr:spPr bwMode="auto">
          <a:xfrm>
            <a:off x="868" y="178"/>
            <a:ext cx="15" cy="7"/>
          </a:xfrm>
          <a:custGeom>
            <a:avLst/>
            <a:gdLst>
              <a:gd name="T0" fmla="*/ 0 w 743"/>
              <a:gd name="T1" fmla="*/ 0 h 368"/>
              <a:gd name="T2" fmla="*/ 0 w 743"/>
              <a:gd name="T3" fmla="*/ 0 h 368"/>
              <a:gd name="T4" fmla="*/ 0 w 743"/>
              <a:gd name="T5" fmla="*/ 0 h 368"/>
              <a:gd name="T6" fmla="*/ 0 w 743"/>
              <a:gd name="T7" fmla="*/ 0 h 368"/>
              <a:gd name="T8" fmla="*/ 0 60000 65536"/>
              <a:gd name="T9" fmla="*/ 0 60000 65536"/>
              <a:gd name="T10" fmla="*/ 0 60000 65536"/>
              <a:gd name="T11" fmla="*/ 0 60000 65536"/>
              <a:gd name="T12" fmla="*/ 0 w 743"/>
              <a:gd name="T13" fmla="*/ 0 h 368"/>
              <a:gd name="T14" fmla="*/ 743 w 743"/>
              <a:gd name="T15" fmla="*/ 368 h 368"/>
            </a:gdLst>
            <a:ahLst/>
            <a:cxnLst>
              <a:cxn ang="T8">
                <a:pos x="T0" y="T1"/>
              </a:cxn>
              <a:cxn ang="T9">
                <a:pos x="T2" y="T3"/>
              </a:cxn>
              <a:cxn ang="T10">
                <a:pos x="T4" y="T5"/>
              </a:cxn>
              <a:cxn ang="T11">
                <a:pos x="T6" y="T7"/>
              </a:cxn>
            </a:cxnLst>
            <a:rect l="T12" t="T13" r="T14" b="T15"/>
            <a:pathLst>
              <a:path w="743" h="368">
                <a:moveTo>
                  <a:pt x="0" y="0"/>
                </a:moveTo>
                <a:lnTo>
                  <a:pt x="548" y="368"/>
                </a:lnTo>
                <a:lnTo>
                  <a:pt x="743" y="172"/>
                </a:lnTo>
                <a:lnTo>
                  <a:pt x="0" y="0"/>
                </a:lnTo>
                <a:close/>
              </a:path>
            </a:pathLst>
          </a:custGeom>
          <a:solidFill>
            <a:srgbClr val="000000"/>
          </a:solidFill>
          <a:ln w="12700">
            <a:solidFill>
              <a:srgbClr val="000000"/>
            </a:solidFill>
            <a:round/>
            <a:headEnd/>
            <a:tailEnd/>
          </a:ln>
        </xdr:spPr>
      </xdr:sp>
      <xdr:sp macro="" textlink="">
        <xdr:nvSpPr>
          <xdr:cNvPr id="66" name="Freeform 15">
            <a:extLst>
              <a:ext uri="{FF2B5EF4-FFF2-40B4-BE49-F238E27FC236}">
                <a16:creationId xmlns:a16="http://schemas.microsoft.com/office/drawing/2014/main" id="{00000000-0008-0000-0000-000042000000}"/>
              </a:ext>
            </a:extLst>
          </xdr:cNvPr>
          <xdr:cNvSpPr>
            <a:spLocks/>
          </xdr:cNvSpPr>
        </xdr:nvSpPr>
        <xdr:spPr bwMode="auto">
          <a:xfrm>
            <a:off x="868" y="178"/>
            <a:ext cx="15" cy="7"/>
          </a:xfrm>
          <a:custGeom>
            <a:avLst/>
            <a:gdLst>
              <a:gd name="T0" fmla="*/ 0 w 743"/>
              <a:gd name="T1" fmla="*/ 0 h 368"/>
              <a:gd name="T2" fmla="*/ 0 w 743"/>
              <a:gd name="T3" fmla="*/ 0 h 368"/>
              <a:gd name="T4" fmla="*/ 0 w 743"/>
              <a:gd name="T5" fmla="*/ 0 h 368"/>
              <a:gd name="T6" fmla="*/ 0 w 743"/>
              <a:gd name="T7" fmla="*/ 0 h 368"/>
              <a:gd name="T8" fmla="*/ 0 60000 65536"/>
              <a:gd name="T9" fmla="*/ 0 60000 65536"/>
              <a:gd name="T10" fmla="*/ 0 60000 65536"/>
              <a:gd name="T11" fmla="*/ 0 60000 65536"/>
              <a:gd name="T12" fmla="*/ 0 w 743"/>
              <a:gd name="T13" fmla="*/ 0 h 368"/>
              <a:gd name="T14" fmla="*/ 743 w 743"/>
              <a:gd name="T15" fmla="*/ 368 h 368"/>
            </a:gdLst>
            <a:ahLst/>
            <a:cxnLst>
              <a:cxn ang="T8">
                <a:pos x="T0" y="T1"/>
              </a:cxn>
              <a:cxn ang="T9">
                <a:pos x="T2" y="T3"/>
              </a:cxn>
              <a:cxn ang="T10">
                <a:pos x="T4" y="T5"/>
              </a:cxn>
              <a:cxn ang="T11">
                <a:pos x="T6" y="T7"/>
              </a:cxn>
            </a:cxnLst>
            <a:rect l="T12" t="T13" r="T14" b="T15"/>
            <a:pathLst>
              <a:path w="743" h="368">
                <a:moveTo>
                  <a:pt x="0" y="0"/>
                </a:moveTo>
                <a:lnTo>
                  <a:pt x="548" y="368"/>
                </a:lnTo>
                <a:lnTo>
                  <a:pt x="743" y="17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Freeform 16">
            <a:extLst>
              <a:ext uri="{FF2B5EF4-FFF2-40B4-BE49-F238E27FC236}">
                <a16:creationId xmlns:a16="http://schemas.microsoft.com/office/drawing/2014/main" id="{00000000-0008-0000-0000-000043000000}"/>
              </a:ext>
            </a:extLst>
          </xdr:cNvPr>
          <xdr:cNvSpPr>
            <a:spLocks/>
          </xdr:cNvSpPr>
        </xdr:nvSpPr>
        <xdr:spPr bwMode="auto">
          <a:xfrm>
            <a:off x="847" y="178"/>
            <a:ext cx="32" cy="7"/>
          </a:xfrm>
          <a:custGeom>
            <a:avLst/>
            <a:gdLst>
              <a:gd name="T0" fmla="*/ 0 w 1582"/>
              <a:gd name="T1" fmla="*/ 0 h 368"/>
              <a:gd name="T2" fmla="*/ 0 w 1582"/>
              <a:gd name="T3" fmla="*/ 0 h 368"/>
              <a:gd name="T4" fmla="*/ 0 w 1582"/>
              <a:gd name="T5" fmla="*/ 0 h 368"/>
              <a:gd name="T6" fmla="*/ 0 w 1582"/>
              <a:gd name="T7" fmla="*/ 0 h 368"/>
              <a:gd name="T8" fmla="*/ 0 60000 65536"/>
              <a:gd name="T9" fmla="*/ 0 60000 65536"/>
              <a:gd name="T10" fmla="*/ 0 60000 65536"/>
              <a:gd name="T11" fmla="*/ 0 60000 65536"/>
              <a:gd name="T12" fmla="*/ 0 w 1582"/>
              <a:gd name="T13" fmla="*/ 0 h 368"/>
              <a:gd name="T14" fmla="*/ 1582 w 1582"/>
              <a:gd name="T15" fmla="*/ 368 h 368"/>
            </a:gdLst>
            <a:ahLst/>
            <a:cxnLst>
              <a:cxn ang="T8">
                <a:pos x="T0" y="T1"/>
              </a:cxn>
              <a:cxn ang="T9">
                <a:pos x="T2" y="T3"/>
              </a:cxn>
              <a:cxn ang="T10">
                <a:pos x="T4" y="T5"/>
              </a:cxn>
              <a:cxn ang="T11">
                <a:pos x="T6" y="T7"/>
              </a:cxn>
            </a:cxnLst>
            <a:rect l="T12" t="T13" r="T14" b="T15"/>
            <a:pathLst>
              <a:path w="1582" h="368">
                <a:moveTo>
                  <a:pt x="0" y="0"/>
                </a:moveTo>
                <a:lnTo>
                  <a:pt x="1582" y="368"/>
                </a:lnTo>
                <a:lnTo>
                  <a:pt x="1034" y="0"/>
                </a:lnTo>
                <a:lnTo>
                  <a:pt x="0" y="0"/>
                </a:lnTo>
                <a:close/>
              </a:path>
            </a:pathLst>
          </a:custGeom>
          <a:solidFill>
            <a:srgbClr val="000000"/>
          </a:solidFill>
          <a:ln w="12700">
            <a:solidFill>
              <a:srgbClr val="000000"/>
            </a:solidFill>
            <a:round/>
            <a:headEnd/>
            <a:tailEnd/>
          </a:ln>
        </xdr:spPr>
      </xdr:sp>
      <xdr:sp macro="" textlink="">
        <xdr:nvSpPr>
          <xdr:cNvPr id="68" name="Freeform 17">
            <a:extLst>
              <a:ext uri="{FF2B5EF4-FFF2-40B4-BE49-F238E27FC236}">
                <a16:creationId xmlns:a16="http://schemas.microsoft.com/office/drawing/2014/main" id="{00000000-0008-0000-0000-000044000000}"/>
              </a:ext>
            </a:extLst>
          </xdr:cNvPr>
          <xdr:cNvSpPr>
            <a:spLocks/>
          </xdr:cNvSpPr>
        </xdr:nvSpPr>
        <xdr:spPr bwMode="auto">
          <a:xfrm>
            <a:off x="847" y="178"/>
            <a:ext cx="32" cy="7"/>
          </a:xfrm>
          <a:custGeom>
            <a:avLst/>
            <a:gdLst>
              <a:gd name="T0" fmla="*/ 0 w 1582"/>
              <a:gd name="T1" fmla="*/ 0 h 368"/>
              <a:gd name="T2" fmla="*/ 0 w 1582"/>
              <a:gd name="T3" fmla="*/ 0 h 368"/>
              <a:gd name="T4" fmla="*/ 0 w 1582"/>
              <a:gd name="T5" fmla="*/ 0 h 368"/>
              <a:gd name="T6" fmla="*/ 0 w 1582"/>
              <a:gd name="T7" fmla="*/ 0 h 368"/>
              <a:gd name="T8" fmla="*/ 0 60000 65536"/>
              <a:gd name="T9" fmla="*/ 0 60000 65536"/>
              <a:gd name="T10" fmla="*/ 0 60000 65536"/>
              <a:gd name="T11" fmla="*/ 0 60000 65536"/>
              <a:gd name="T12" fmla="*/ 0 w 1582"/>
              <a:gd name="T13" fmla="*/ 0 h 368"/>
              <a:gd name="T14" fmla="*/ 1582 w 1582"/>
              <a:gd name="T15" fmla="*/ 368 h 368"/>
            </a:gdLst>
            <a:ahLst/>
            <a:cxnLst>
              <a:cxn ang="T8">
                <a:pos x="T0" y="T1"/>
              </a:cxn>
              <a:cxn ang="T9">
                <a:pos x="T2" y="T3"/>
              </a:cxn>
              <a:cxn ang="T10">
                <a:pos x="T4" y="T5"/>
              </a:cxn>
              <a:cxn ang="T11">
                <a:pos x="T6" y="T7"/>
              </a:cxn>
            </a:cxnLst>
            <a:rect l="T12" t="T13" r="T14" b="T15"/>
            <a:pathLst>
              <a:path w="1582" h="368">
                <a:moveTo>
                  <a:pt x="0" y="0"/>
                </a:moveTo>
                <a:lnTo>
                  <a:pt x="1582" y="368"/>
                </a:lnTo>
                <a:lnTo>
                  <a:pt x="1034" y="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9" name="Freeform 18">
            <a:extLst>
              <a:ext uri="{FF2B5EF4-FFF2-40B4-BE49-F238E27FC236}">
                <a16:creationId xmlns:a16="http://schemas.microsoft.com/office/drawing/2014/main" id="{00000000-0008-0000-0000-000045000000}"/>
              </a:ext>
            </a:extLst>
          </xdr:cNvPr>
          <xdr:cNvSpPr>
            <a:spLocks/>
          </xdr:cNvSpPr>
        </xdr:nvSpPr>
        <xdr:spPr bwMode="auto">
          <a:xfrm>
            <a:off x="890" y="174"/>
            <a:ext cx="37" cy="4"/>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0" y="0"/>
                </a:moveTo>
                <a:lnTo>
                  <a:pt x="742" y="172"/>
                </a:lnTo>
                <a:lnTo>
                  <a:pt x="1776" y="172"/>
                </a:lnTo>
                <a:lnTo>
                  <a:pt x="0" y="0"/>
                </a:lnTo>
                <a:close/>
              </a:path>
            </a:pathLst>
          </a:custGeom>
          <a:solidFill>
            <a:srgbClr val="000000"/>
          </a:solidFill>
          <a:ln w="12700">
            <a:solidFill>
              <a:srgbClr val="000000"/>
            </a:solidFill>
            <a:round/>
            <a:headEnd/>
            <a:tailEnd/>
          </a:ln>
        </xdr:spPr>
      </xdr:sp>
      <xdr:sp macro="" textlink="">
        <xdr:nvSpPr>
          <xdr:cNvPr id="70" name="Freeform 19">
            <a:extLst>
              <a:ext uri="{FF2B5EF4-FFF2-40B4-BE49-F238E27FC236}">
                <a16:creationId xmlns:a16="http://schemas.microsoft.com/office/drawing/2014/main" id="{00000000-0008-0000-0000-000046000000}"/>
              </a:ext>
            </a:extLst>
          </xdr:cNvPr>
          <xdr:cNvSpPr>
            <a:spLocks/>
          </xdr:cNvSpPr>
        </xdr:nvSpPr>
        <xdr:spPr bwMode="auto">
          <a:xfrm>
            <a:off x="890" y="174"/>
            <a:ext cx="37" cy="4"/>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0" y="0"/>
                </a:moveTo>
                <a:lnTo>
                  <a:pt x="742" y="172"/>
                </a:lnTo>
                <a:lnTo>
                  <a:pt x="1776" y="17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Freeform 20">
            <a:extLst>
              <a:ext uri="{FF2B5EF4-FFF2-40B4-BE49-F238E27FC236}">
                <a16:creationId xmlns:a16="http://schemas.microsoft.com/office/drawing/2014/main" id="{00000000-0008-0000-0000-000047000000}"/>
              </a:ext>
            </a:extLst>
          </xdr:cNvPr>
          <xdr:cNvSpPr>
            <a:spLocks/>
          </xdr:cNvSpPr>
        </xdr:nvSpPr>
        <xdr:spPr bwMode="auto">
          <a:xfrm>
            <a:off x="847" y="174"/>
            <a:ext cx="36" cy="4"/>
          </a:xfrm>
          <a:custGeom>
            <a:avLst/>
            <a:gdLst>
              <a:gd name="T0" fmla="*/ 0 w 1777"/>
              <a:gd name="T1" fmla="*/ 0 h 172"/>
              <a:gd name="T2" fmla="*/ 0 w 1777"/>
              <a:gd name="T3" fmla="*/ 0 h 172"/>
              <a:gd name="T4" fmla="*/ 0 w 1777"/>
              <a:gd name="T5" fmla="*/ 0 h 172"/>
              <a:gd name="T6" fmla="*/ 0 w 1777"/>
              <a:gd name="T7" fmla="*/ 0 h 172"/>
              <a:gd name="T8" fmla="*/ 0 60000 65536"/>
              <a:gd name="T9" fmla="*/ 0 60000 65536"/>
              <a:gd name="T10" fmla="*/ 0 60000 65536"/>
              <a:gd name="T11" fmla="*/ 0 60000 65536"/>
              <a:gd name="T12" fmla="*/ 0 w 1777"/>
              <a:gd name="T13" fmla="*/ 0 h 172"/>
              <a:gd name="T14" fmla="*/ 1777 w 1777"/>
              <a:gd name="T15" fmla="*/ 172 h 172"/>
            </a:gdLst>
            <a:ahLst/>
            <a:cxnLst>
              <a:cxn ang="T8">
                <a:pos x="T0" y="T1"/>
              </a:cxn>
              <a:cxn ang="T9">
                <a:pos x="T2" y="T3"/>
              </a:cxn>
              <a:cxn ang="T10">
                <a:pos x="T4" y="T5"/>
              </a:cxn>
              <a:cxn ang="T11">
                <a:pos x="T6" y="T7"/>
              </a:cxn>
            </a:cxnLst>
            <a:rect l="T12" t="T13" r="T14" b="T15"/>
            <a:pathLst>
              <a:path w="1777" h="172">
                <a:moveTo>
                  <a:pt x="1777" y="0"/>
                </a:moveTo>
                <a:lnTo>
                  <a:pt x="0" y="172"/>
                </a:lnTo>
                <a:lnTo>
                  <a:pt x="1034" y="172"/>
                </a:lnTo>
                <a:lnTo>
                  <a:pt x="1777" y="0"/>
                </a:lnTo>
                <a:close/>
              </a:path>
            </a:pathLst>
          </a:custGeom>
          <a:solidFill>
            <a:srgbClr val="000000"/>
          </a:solidFill>
          <a:ln w="12700">
            <a:solidFill>
              <a:srgbClr val="000000"/>
            </a:solidFill>
            <a:round/>
            <a:headEnd/>
            <a:tailEnd/>
          </a:ln>
        </xdr:spPr>
      </xdr:sp>
      <xdr:sp macro="" textlink="">
        <xdr:nvSpPr>
          <xdr:cNvPr id="72" name="Freeform 21">
            <a:extLst>
              <a:ext uri="{FF2B5EF4-FFF2-40B4-BE49-F238E27FC236}">
                <a16:creationId xmlns:a16="http://schemas.microsoft.com/office/drawing/2014/main" id="{00000000-0008-0000-0000-000048000000}"/>
              </a:ext>
            </a:extLst>
          </xdr:cNvPr>
          <xdr:cNvSpPr>
            <a:spLocks/>
          </xdr:cNvSpPr>
        </xdr:nvSpPr>
        <xdr:spPr bwMode="auto">
          <a:xfrm>
            <a:off x="847" y="174"/>
            <a:ext cx="36" cy="4"/>
          </a:xfrm>
          <a:custGeom>
            <a:avLst/>
            <a:gdLst>
              <a:gd name="T0" fmla="*/ 0 w 1777"/>
              <a:gd name="T1" fmla="*/ 0 h 172"/>
              <a:gd name="T2" fmla="*/ 0 w 1777"/>
              <a:gd name="T3" fmla="*/ 0 h 172"/>
              <a:gd name="T4" fmla="*/ 0 w 1777"/>
              <a:gd name="T5" fmla="*/ 0 h 172"/>
              <a:gd name="T6" fmla="*/ 0 w 1777"/>
              <a:gd name="T7" fmla="*/ 0 h 172"/>
              <a:gd name="T8" fmla="*/ 0 60000 65536"/>
              <a:gd name="T9" fmla="*/ 0 60000 65536"/>
              <a:gd name="T10" fmla="*/ 0 60000 65536"/>
              <a:gd name="T11" fmla="*/ 0 60000 65536"/>
              <a:gd name="T12" fmla="*/ 0 w 1777"/>
              <a:gd name="T13" fmla="*/ 0 h 172"/>
              <a:gd name="T14" fmla="*/ 1777 w 1777"/>
              <a:gd name="T15" fmla="*/ 172 h 172"/>
            </a:gdLst>
            <a:ahLst/>
            <a:cxnLst>
              <a:cxn ang="T8">
                <a:pos x="T0" y="T1"/>
              </a:cxn>
              <a:cxn ang="T9">
                <a:pos x="T2" y="T3"/>
              </a:cxn>
              <a:cxn ang="T10">
                <a:pos x="T4" y="T5"/>
              </a:cxn>
              <a:cxn ang="T11">
                <a:pos x="T6" y="T7"/>
              </a:cxn>
            </a:cxnLst>
            <a:rect l="T12" t="T13" r="T14" b="T15"/>
            <a:pathLst>
              <a:path w="1777" h="172">
                <a:moveTo>
                  <a:pt x="1777" y="0"/>
                </a:moveTo>
                <a:lnTo>
                  <a:pt x="0" y="172"/>
                </a:lnTo>
                <a:lnTo>
                  <a:pt x="1034" y="172"/>
                </a:lnTo>
                <a:lnTo>
                  <a:pt x="1777"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Freeform 22">
            <a:extLst>
              <a:ext uri="{FF2B5EF4-FFF2-40B4-BE49-F238E27FC236}">
                <a16:creationId xmlns:a16="http://schemas.microsoft.com/office/drawing/2014/main" id="{00000000-0008-0000-0000-000049000000}"/>
              </a:ext>
            </a:extLst>
          </xdr:cNvPr>
          <xdr:cNvSpPr>
            <a:spLocks/>
          </xdr:cNvSpPr>
        </xdr:nvSpPr>
        <xdr:spPr bwMode="auto">
          <a:xfrm>
            <a:off x="890" y="170"/>
            <a:ext cx="37" cy="8"/>
          </a:xfrm>
          <a:custGeom>
            <a:avLst/>
            <a:gdLst>
              <a:gd name="T0" fmla="*/ 0 w 1776"/>
              <a:gd name="T1" fmla="*/ 0 h 367"/>
              <a:gd name="T2" fmla="*/ 0 w 1776"/>
              <a:gd name="T3" fmla="*/ 0 h 367"/>
              <a:gd name="T4" fmla="*/ 0 w 1776"/>
              <a:gd name="T5" fmla="*/ 0 h 367"/>
              <a:gd name="T6" fmla="*/ 0 w 1776"/>
              <a:gd name="T7" fmla="*/ 0 h 367"/>
              <a:gd name="T8" fmla="*/ 0 60000 65536"/>
              <a:gd name="T9" fmla="*/ 0 60000 65536"/>
              <a:gd name="T10" fmla="*/ 0 60000 65536"/>
              <a:gd name="T11" fmla="*/ 0 60000 65536"/>
              <a:gd name="T12" fmla="*/ 0 w 1776"/>
              <a:gd name="T13" fmla="*/ 0 h 367"/>
              <a:gd name="T14" fmla="*/ 1776 w 1776"/>
              <a:gd name="T15" fmla="*/ 367 h 367"/>
            </a:gdLst>
            <a:ahLst/>
            <a:cxnLst>
              <a:cxn ang="T8">
                <a:pos x="T0" y="T1"/>
              </a:cxn>
              <a:cxn ang="T9">
                <a:pos x="T2" y="T3"/>
              </a:cxn>
              <a:cxn ang="T10">
                <a:pos x="T4" y="T5"/>
              </a:cxn>
              <a:cxn ang="T11">
                <a:pos x="T6" y="T7"/>
              </a:cxn>
            </a:cxnLst>
            <a:rect l="T12" t="T13" r="T14" b="T15"/>
            <a:pathLst>
              <a:path w="1776" h="367">
                <a:moveTo>
                  <a:pt x="193" y="0"/>
                </a:moveTo>
                <a:lnTo>
                  <a:pt x="0" y="195"/>
                </a:lnTo>
                <a:lnTo>
                  <a:pt x="1776" y="367"/>
                </a:lnTo>
                <a:lnTo>
                  <a:pt x="193" y="0"/>
                </a:lnTo>
                <a:close/>
              </a:path>
            </a:pathLst>
          </a:custGeom>
          <a:solidFill>
            <a:srgbClr val="000000"/>
          </a:solidFill>
          <a:ln w="12700">
            <a:solidFill>
              <a:srgbClr val="000000"/>
            </a:solidFill>
            <a:round/>
            <a:headEnd/>
            <a:tailEnd/>
          </a:ln>
        </xdr:spPr>
      </xdr:sp>
      <xdr:sp macro="" textlink="">
        <xdr:nvSpPr>
          <xdr:cNvPr id="74" name="Freeform 23">
            <a:extLst>
              <a:ext uri="{FF2B5EF4-FFF2-40B4-BE49-F238E27FC236}">
                <a16:creationId xmlns:a16="http://schemas.microsoft.com/office/drawing/2014/main" id="{00000000-0008-0000-0000-00004A000000}"/>
              </a:ext>
            </a:extLst>
          </xdr:cNvPr>
          <xdr:cNvSpPr>
            <a:spLocks/>
          </xdr:cNvSpPr>
        </xdr:nvSpPr>
        <xdr:spPr bwMode="auto">
          <a:xfrm>
            <a:off x="890" y="170"/>
            <a:ext cx="37" cy="8"/>
          </a:xfrm>
          <a:custGeom>
            <a:avLst/>
            <a:gdLst>
              <a:gd name="T0" fmla="*/ 0 w 1776"/>
              <a:gd name="T1" fmla="*/ 0 h 367"/>
              <a:gd name="T2" fmla="*/ 0 w 1776"/>
              <a:gd name="T3" fmla="*/ 0 h 367"/>
              <a:gd name="T4" fmla="*/ 0 w 1776"/>
              <a:gd name="T5" fmla="*/ 0 h 367"/>
              <a:gd name="T6" fmla="*/ 0 w 1776"/>
              <a:gd name="T7" fmla="*/ 0 h 367"/>
              <a:gd name="T8" fmla="*/ 0 60000 65536"/>
              <a:gd name="T9" fmla="*/ 0 60000 65536"/>
              <a:gd name="T10" fmla="*/ 0 60000 65536"/>
              <a:gd name="T11" fmla="*/ 0 60000 65536"/>
              <a:gd name="T12" fmla="*/ 0 w 1776"/>
              <a:gd name="T13" fmla="*/ 0 h 367"/>
              <a:gd name="T14" fmla="*/ 1776 w 1776"/>
              <a:gd name="T15" fmla="*/ 367 h 367"/>
            </a:gdLst>
            <a:ahLst/>
            <a:cxnLst>
              <a:cxn ang="T8">
                <a:pos x="T0" y="T1"/>
              </a:cxn>
              <a:cxn ang="T9">
                <a:pos x="T2" y="T3"/>
              </a:cxn>
              <a:cxn ang="T10">
                <a:pos x="T4" y="T5"/>
              </a:cxn>
              <a:cxn ang="T11">
                <a:pos x="T6" y="T7"/>
              </a:cxn>
            </a:cxnLst>
            <a:rect l="T12" t="T13" r="T14" b="T15"/>
            <a:pathLst>
              <a:path w="1776" h="367">
                <a:moveTo>
                  <a:pt x="193" y="0"/>
                </a:moveTo>
                <a:lnTo>
                  <a:pt x="0" y="195"/>
                </a:lnTo>
                <a:lnTo>
                  <a:pt x="1776" y="367"/>
                </a:lnTo>
                <a:lnTo>
                  <a:pt x="193"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5" name="Freeform 24">
            <a:extLst>
              <a:ext uri="{FF2B5EF4-FFF2-40B4-BE49-F238E27FC236}">
                <a16:creationId xmlns:a16="http://schemas.microsoft.com/office/drawing/2014/main" id="{00000000-0008-0000-0000-00004B000000}"/>
              </a:ext>
            </a:extLst>
          </xdr:cNvPr>
          <xdr:cNvSpPr>
            <a:spLocks/>
          </xdr:cNvSpPr>
        </xdr:nvSpPr>
        <xdr:spPr bwMode="auto">
          <a:xfrm>
            <a:off x="847" y="170"/>
            <a:ext cx="36" cy="8"/>
          </a:xfrm>
          <a:custGeom>
            <a:avLst/>
            <a:gdLst>
              <a:gd name="T0" fmla="*/ 0 w 1777"/>
              <a:gd name="T1" fmla="*/ 0 h 367"/>
              <a:gd name="T2" fmla="*/ 0 w 1777"/>
              <a:gd name="T3" fmla="*/ 0 h 367"/>
              <a:gd name="T4" fmla="*/ 0 w 1777"/>
              <a:gd name="T5" fmla="*/ 0 h 367"/>
              <a:gd name="T6" fmla="*/ 0 w 1777"/>
              <a:gd name="T7" fmla="*/ 0 h 367"/>
              <a:gd name="T8" fmla="*/ 0 60000 65536"/>
              <a:gd name="T9" fmla="*/ 0 60000 65536"/>
              <a:gd name="T10" fmla="*/ 0 60000 65536"/>
              <a:gd name="T11" fmla="*/ 0 60000 65536"/>
              <a:gd name="T12" fmla="*/ 0 w 1777"/>
              <a:gd name="T13" fmla="*/ 0 h 367"/>
              <a:gd name="T14" fmla="*/ 1777 w 1777"/>
              <a:gd name="T15" fmla="*/ 367 h 367"/>
            </a:gdLst>
            <a:ahLst/>
            <a:cxnLst>
              <a:cxn ang="T8">
                <a:pos x="T0" y="T1"/>
              </a:cxn>
              <a:cxn ang="T9">
                <a:pos x="T2" y="T3"/>
              </a:cxn>
              <a:cxn ang="T10">
                <a:pos x="T4" y="T5"/>
              </a:cxn>
              <a:cxn ang="T11">
                <a:pos x="T6" y="T7"/>
              </a:cxn>
            </a:cxnLst>
            <a:rect l="T12" t="T13" r="T14" b="T15"/>
            <a:pathLst>
              <a:path w="1777" h="367">
                <a:moveTo>
                  <a:pt x="1582" y="0"/>
                </a:moveTo>
                <a:lnTo>
                  <a:pt x="0" y="367"/>
                </a:lnTo>
                <a:lnTo>
                  <a:pt x="1777" y="195"/>
                </a:lnTo>
                <a:lnTo>
                  <a:pt x="1582" y="0"/>
                </a:lnTo>
                <a:close/>
              </a:path>
            </a:pathLst>
          </a:custGeom>
          <a:solidFill>
            <a:srgbClr val="000000"/>
          </a:solidFill>
          <a:ln w="12700">
            <a:solidFill>
              <a:srgbClr val="000000"/>
            </a:solidFill>
            <a:round/>
            <a:headEnd/>
            <a:tailEnd/>
          </a:ln>
        </xdr:spPr>
      </xdr:sp>
      <xdr:sp macro="" textlink="">
        <xdr:nvSpPr>
          <xdr:cNvPr id="76" name="Freeform 25">
            <a:extLst>
              <a:ext uri="{FF2B5EF4-FFF2-40B4-BE49-F238E27FC236}">
                <a16:creationId xmlns:a16="http://schemas.microsoft.com/office/drawing/2014/main" id="{00000000-0008-0000-0000-00004C000000}"/>
              </a:ext>
            </a:extLst>
          </xdr:cNvPr>
          <xdr:cNvSpPr>
            <a:spLocks/>
          </xdr:cNvSpPr>
        </xdr:nvSpPr>
        <xdr:spPr bwMode="auto">
          <a:xfrm>
            <a:off x="847" y="170"/>
            <a:ext cx="36" cy="8"/>
          </a:xfrm>
          <a:custGeom>
            <a:avLst/>
            <a:gdLst>
              <a:gd name="T0" fmla="*/ 0 w 1777"/>
              <a:gd name="T1" fmla="*/ 0 h 367"/>
              <a:gd name="T2" fmla="*/ 0 w 1777"/>
              <a:gd name="T3" fmla="*/ 0 h 367"/>
              <a:gd name="T4" fmla="*/ 0 w 1777"/>
              <a:gd name="T5" fmla="*/ 0 h 367"/>
              <a:gd name="T6" fmla="*/ 0 w 1777"/>
              <a:gd name="T7" fmla="*/ 0 h 367"/>
              <a:gd name="T8" fmla="*/ 0 60000 65536"/>
              <a:gd name="T9" fmla="*/ 0 60000 65536"/>
              <a:gd name="T10" fmla="*/ 0 60000 65536"/>
              <a:gd name="T11" fmla="*/ 0 60000 65536"/>
              <a:gd name="T12" fmla="*/ 0 w 1777"/>
              <a:gd name="T13" fmla="*/ 0 h 367"/>
              <a:gd name="T14" fmla="*/ 1777 w 1777"/>
              <a:gd name="T15" fmla="*/ 367 h 367"/>
            </a:gdLst>
            <a:ahLst/>
            <a:cxnLst>
              <a:cxn ang="T8">
                <a:pos x="T0" y="T1"/>
              </a:cxn>
              <a:cxn ang="T9">
                <a:pos x="T2" y="T3"/>
              </a:cxn>
              <a:cxn ang="T10">
                <a:pos x="T4" y="T5"/>
              </a:cxn>
              <a:cxn ang="T11">
                <a:pos x="T6" y="T7"/>
              </a:cxn>
            </a:cxnLst>
            <a:rect l="T12" t="T13" r="T14" b="T15"/>
            <a:pathLst>
              <a:path w="1777" h="367">
                <a:moveTo>
                  <a:pt x="1582" y="0"/>
                </a:moveTo>
                <a:lnTo>
                  <a:pt x="0" y="367"/>
                </a:lnTo>
                <a:lnTo>
                  <a:pt x="1777" y="195"/>
                </a:lnTo>
                <a:lnTo>
                  <a:pt x="158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7" name="Freeform 26">
            <a:extLst>
              <a:ext uri="{FF2B5EF4-FFF2-40B4-BE49-F238E27FC236}">
                <a16:creationId xmlns:a16="http://schemas.microsoft.com/office/drawing/2014/main" id="{00000000-0008-0000-0000-00004D000000}"/>
              </a:ext>
            </a:extLst>
          </xdr:cNvPr>
          <xdr:cNvSpPr>
            <a:spLocks/>
          </xdr:cNvSpPr>
        </xdr:nvSpPr>
        <xdr:spPr bwMode="auto">
          <a:xfrm>
            <a:off x="879" y="159"/>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365" y="0"/>
                </a:moveTo>
                <a:lnTo>
                  <a:pt x="0" y="551"/>
                </a:lnTo>
                <a:lnTo>
                  <a:pt x="195" y="746"/>
                </a:lnTo>
                <a:lnTo>
                  <a:pt x="365" y="0"/>
                </a:lnTo>
                <a:close/>
              </a:path>
            </a:pathLst>
          </a:custGeom>
          <a:solidFill>
            <a:srgbClr val="000000"/>
          </a:solidFill>
          <a:ln w="12700">
            <a:solidFill>
              <a:srgbClr val="000000"/>
            </a:solidFill>
            <a:round/>
            <a:headEnd/>
            <a:tailEnd/>
          </a:ln>
        </xdr:spPr>
      </xdr:sp>
      <xdr:sp macro="" textlink="">
        <xdr:nvSpPr>
          <xdr:cNvPr id="78" name="Freeform 27">
            <a:extLst>
              <a:ext uri="{FF2B5EF4-FFF2-40B4-BE49-F238E27FC236}">
                <a16:creationId xmlns:a16="http://schemas.microsoft.com/office/drawing/2014/main" id="{00000000-0008-0000-0000-00004E000000}"/>
              </a:ext>
            </a:extLst>
          </xdr:cNvPr>
          <xdr:cNvSpPr>
            <a:spLocks/>
          </xdr:cNvSpPr>
        </xdr:nvSpPr>
        <xdr:spPr bwMode="auto">
          <a:xfrm>
            <a:off x="879" y="159"/>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365" y="0"/>
                </a:moveTo>
                <a:lnTo>
                  <a:pt x="0" y="551"/>
                </a:lnTo>
                <a:lnTo>
                  <a:pt x="195" y="746"/>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9" name="Freeform 28">
            <a:extLst>
              <a:ext uri="{FF2B5EF4-FFF2-40B4-BE49-F238E27FC236}">
                <a16:creationId xmlns:a16="http://schemas.microsoft.com/office/drawing/2014/main" id="{00000000-0008-0000-0000-00004F000000}"/>
              </a:ext>
            </a:extLst>
          </xdr:cNvPr>
          <xdr:cNvSpPr>
            <a:spLocks/>
          </xdr:cNvSpPr>
        </xdr:nvSpPr>
        <xdr:spPr bwMode="auto">
          <a:xfrm>
            <a:off x="887" y="159"/>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0" y="0"/>
                </a:moveTo>
                <a:lnTo>
                  <a:pt x="172" y="746"/>
                </a:lnTo>
                <a:lnTo>
                  <a:pt x="365" y="551"/>
                </a:lnTo>
                <a:lnTo>
                  <a:pt x="0" y="0"/>
                </a:lnTo>
                <a:close/>
              </a:path>
            </a:pathLst>
          </a:custGeom>
          <a:solidFill>
            <a:srgbClr val="000000"/>
          </a:solidFill>
          <a:ln w="12700">
            <a:solidFill>
              <a:srgbClr val="000000"/>
            </a:solidFill>
            <a:round/>
            <a:headEnd/>
            <a:tailEnd/>
          </a:ln>
        </xdr:spPr>
      </xdr:sp>
      <xdr:sp macro="" textlink="">
        <xdr:nvSpPr>
          <xdr:cNvPr id="80" name="Freeform 29">
            <a:extLst>
              <a:ext uri="{FF2B5EF4-FFF2-40B4-BE49-F238E27FC236}">
                <a16:creationId xmlns:a16="http://schemas.microsoft.com/office/drawing/2014/main" id="{00000000-0008-0000-0000-000050000000}"/>
              </a:ext>
            </a:extLst>
          </xdr:cNvPr>
          <xdr:cNvSpPr>
            <a:spLocks/>
          </xdr:cNvSpPr>
        </xdr:nvSpPr>
        <xdr:spPr bwMode="auto">
          <a:xfrm>
            <a:off x="887" y="159"/>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0" y="0"/>
                </a:moveTo>
                <a:lnTo>
                  <a:pt x="172" y="746"/>
                </a:lnTo>
                <a:lnTo>
                  <a:pt x="365" y="551"/>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Freeform 30">
            <a:extLst>
              <a:ext uri="{FF2B5EF4-FFF2-40B4-BE49-F238E27FC236}">
                <a16:creationId xmlns:a16="http://schemas.microsoft.com/office/drawing/2014/main" id="{00000000-0008-0000-0000-000051000000}"/>
              </a:ext>
            </a:extLst>
          </xdr:cNvPr>
          <xdr:cNvSpPr>
            <a:spLocks/>
          </xdr:cNvSpPr>
        </xdr:nvSpPr>
        <xdr:spPr bwMode="auto">
          <a:xfrm>
            <a:off x="879" y="138"/>
            <a:ext cx="8"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365" y="0"/>
                </a:moveTo>
                <a:lnTo>
                  <a:pt x="0" y="1590"/>
                </a:lnTo>
                <a:lnTo>
                  <a:pt x="365" y="1039"/>
                </a:lnTo>
                <a:lnTo>
                  <a:pt x="365" y="0"/>
                </a:lnTo>
                <a:close/>
              </a:path>
            </a:pathLst>
          </a:custGeom>
          <a:solidFill>
            <a:srgbClr val="000000"/>
          </a:solidFill>
          <a:ln w="12700">
            <a:solidFill>
              <a:srgbClr val="000000"/>
            </a:solidFill>
            <a:round/>
            <a:headEnd/>
            <a:tailEnd/>
          </a:ln>
        </xdr:spPr>
      </xdr:sp>
      <xdr:sp macro="" textlink="">
        <xdr:nvSpPr>
          <xdr:cNvPr id="82" name="Freeform 31">
            <a:extLst>
              <a:ext uri="{FF2B5EF4-FFF2-40B4-BE49-F238E27FC236}">
                <a16:creationId xmlns:a16="http://schemas.microsoft.com/office/drawing/2014/main" id="{00000000-0008-0000-0000-000052000000}"/>
              </a:ext>
            </a:extLst>
          </xdr:cNvPr>
          <xdr:cNvSpPr>
            <a:spLocks/>
          </xdr:cNvSpPr>
        </xdr:nvSpPr>
        <xdr:spPr bwMode="auto">
          <a:xfrm>
            <a:off x="879" y="138"/>
            <a:ext cx="8"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365" y="0"/>
                </a:moveTo>
                <a:lnTo>
                  <a:pt x="0" y="1590"/>
                </a:lnTo>
                <a:lnTo>
                  <a:pt x="365" y="1039"/>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3" name="Freeform 32">
            <a:extLst>
              <a:ext uri="{FF2B5EF4-FFF2-40B4-BE49-F238E27FC236}">
                <a16:creationId xmlns:a16="http://schemas.microsoft.com/office/drawing/2014/main" id="{00000000-0008-0000-0000-000053000000}"/>
              </a:ext>
            </a:extLst>
          </xdr:cNvPr>
          <xdr:cNvSpPr>
            <a:spLocks/>
          </xdr:cNvSpPr>
        </xdr:nvSpPr>
        <xdr:spPr bwMode="auto">
          <a:xfrm>
            <a:off x="887" y="138"/>
            <a:ext cx="7"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0" y="0"/>
                </a:moveTo>
                <a:lnTo>
                  <a:pt x="0" y="1039"/>
                </a:lnTo>
                <a:lnTo>
                  <a:pt x="365" y="1590"/>
                </a:lnTo>
                <a:lnTo>
                  <a:pt x="0" y="0"/>
                </a:lnTo>
                <a:close/>
              </a:path>
            </a:pathLst>
          </a:custGeom>
          <a:solidFill>
            <a:srgbClr val="000000"/>
          </a:solidFill>
          <a:ln w="12700">
            <a:solidFill>
              <a:srgbClr val="000000"/>
            </a:solidFill>
            <a:round/>
            <a:headEnd/>
            <a:tailEnd/>
          </a:ln>
        </xdr:spPr>
      </xdr:sp>
      <xdr:sp macro="" textlink="">
        <xdr:nvSpPr>
          <xdr:cNvPr id="84" name="Freeform 33">
            <a:extLst>
              <a:ext uri="{FF2B5EF4-FFF2-40B4-BE49-F238E27FC236}">
                <a16:creationId xmlns:a16="http://schemas.microsoft.com/office/drawing/2014/main" id="{00000000-0008-0000-0000-000054000000}"/>
              </a:ext>
            </a:extLst>
          </xdr:cNvPr>
          <xdr:cNvSpPr>
            <a:spLocks/>
          </xdr:cNvSpPr>
        </xdr:nvSpPr>
        <xdr:spPr bwMode="auto">
          <a:xfrm>
            <a:off x="887" y="138"/>
            <a:ext cx="7"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0" y="0"/>
                </a:moveTo>
                <a:lnTo>
                  <a:pt x="0" y="1039"/>
                </a:lnTo>
                <a:lnTo>
                  <a:pt x="365" y="159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Line 34">
            <a:extLst>
              <a:ext uri="{FF2B5EF4-FFF2-40B4-BE49-F238E27FC236}">
                <a16:creationId xmlns:a16="http://schemas.microsoft.com/office/drawing/2014/main" id="{00000000-0008-0000-0000-000055000000}"/>
              </a:ext>
            </a:extLst>
          </xdr:cNvPr>
          <xdr:cNvSpPr>
            <a:spLocks noChangeShapeType="1"/>
          </xdr:cNvSpPr>
        </xdr:nvSpPr>
        <xdr:spPr bwMode="auto">
          <a:xfrm flipH="1" flipV="1">
            <a:off x="887" y="138"/>
            <a:ext cx="7" cy="3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Line 35">
            <a:extLst>
              <a:ext uri="{FF2B5EF4-FFF2-40B4-BE49-F238E27FC236}">
                <a16:creationId xmlns:a16="http://schemas.microsoft.com/office/drawing/2014/main" id="{00000000-0008-0000-0000-000056000000}"/>
              </a:ext>
            </a:extLst>
          </xdr:cNvPr>
          <xdr:cNvSpPr>
            <a:spLocks noChangeShapeType="1"/>
          </xdr:cNvSpPr>
        </xdr:nvSpPr>
        <xdr:spPr bwMode="auto">
          <a:xfrm flipH="1">
            <a:off x="879" y="138"/>
            <a:ext cx="8" cy="3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Line 36">
            <a:extLst>
              <a:ext uri="{FF2B5EF4-FFF2-40B4-BE49-F238E27FC236}">
                <a16:creationId xmlns:a16="http://schemas.microsoft.com/office/drawing/2014/main" id="{00000000-0008-0000-0000-000057000000}"/>
              </a:ext>
            </a:extLst>
          </xdr:cNvPr>
          <xdr:cNvSpPr>
            <a:spLocks noChangeShapeType="1"/>
          </xdr:cNvSpPr>
        </xdr:nvSpPr>
        <xdr:spPr bwMode="auto">
          <a:xfrm flipH="1">
            <a:off x="847" y="170"/>
            <a:ext cx="32" cy="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 name="Line 37">
            <a:extLst>
              <a:ext uri="{FF2B5EF4-FFF2-40B4-BE49-F238E27FC236}">
                <a16:creationId xmlns:a16="http://schemas.microsoft.com/office/drawing/2014/main" id="{00000000-0008-0000-0000-000058000000}"/>
              </a:ext>
            </a:extLst>
          </xdr:cNvPr>
          <xdr:cNvSpPr>
            <a:spLocks noChangeShapeType="1"/>
          </xdr:cNvSpPr>
        </xdr:nvSpPr>
        <xdr:spPr bwMode="auto">
          <a:xfrm>
            <a:off x="847" y="178"/>
            <a:ext cx="32" cy="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Line 38">
            <a:extLst>
              <a:ext uri="{FF2B5EF4-FFF2-40B4-BE49-F238E27FC236}">
                <a16:creationId xmlns:a16="http://schemas.microsoft.com/office/drawing/2014/main" id="{00000000-0008-0000-0000-000059000000}"/>
              </a:ext>
            </a:extLst>
          </xdr:cNvPr>
          <xdr:cNvSpPr>
            <a:spLocks noChangeShapeType="1"/>
          </xdr:cNvSpPr>
        </xdr:nvSpPr>
        <xdr:spPr bwMode="auto">
          <a:xfrm>
            <a:off x="879" y="185"/>
            <a:ext cx="8" cy="3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0" name="Line 39">
            <a:extLst>
              <a:ext uri="{FF2B5EF4-FFF2-40B4-BE49-F238E27FC236}">
                <a16:creationId xmlns:a16="http://schemas.microsoft.com/office/drawing/2014/main" id="{00000000-0008-0000-0000-00005A000000}"/>
              </a:ext>
            </a:extLst>
          </xdr:cNvPr>
          <xdr:cNvSpPr>
            <a:spLocks noChangeShapeType="1"/>
          </xdr:cNvSpPr>
        </xdr:nvSpPr>
        <xdr:spPr bwMode="auto">
          <a:xfrm flipV="1">
            <a:off x="887" y="185"/>
            <a:ext cx="7" cy="3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Line 40">
            <a:extLst>
              <a:ext uri="{FF2B5EF4-FFF2-40B4-BE49-F238E27FC236}">
                <a16:creationId xmlns:a16="http://schemas.microsoft.com/office/drawing/2014/main" id="{00000000-0008-0000-0000-00005B000000}"/>
              </a:ext>
            </a:extLst>
          </xdr:cNvPr>
          <xdr:cNvSpPr>
            <a:spLocks noChangeShapeType="1"/>
          </xdr:cNvSpPr>
        </xdr:nvSpPr>
        <xdr:spPr bwMode="auto">
          <a:xfrm flipV="1">
            <a:off x="894" y="178"/>
            <a:ext cx="33" cy="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2" name="Line 41">
            <a:extLst>
              <a:ext uri="{FF2B5EF4-FFF2-40B4-BE49-F238E27FC236}">
                <a16:creationId xmlns:a16="http://schemas.microsoft.com/office/drawing/2014/main" id="{00000000-0008-0000-0000-00005C000000}"/>
              </a:ext>
            </a:extLst>
          </xdr:cNvPr>
          <xdr:cNvSpPr>
            <a:spLocks noChangeShapeType="1"/>
          </xdr:cNvSpPr>
        </xdr:nvSpPr>
        <xdr:spPr bwMode="auto">
          <a:xfrm flipH="1" flipV="1">
            <a:off x="894" y="170"/>
            <a:ext cx="33" cy="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3" name="Line 42">
            <a:extLst>
              <a:ext uri="{FF2B5EF4-FFF2-40B4-BE49-F238E27FC236}">
                <a16:creationId xmlns:a16="http://schemas.microsoft.com/office/drawing/2014/main" id="{00000000-0008-0000-0000-00005D000000}"/>
              </a:ext>
            </a:extLst>
          </xdr:cNvPr>
          <xdr:cNvSpPr>
            <a:spLocks noChangeShapeType="1"/>
          </xdr:cNvSpPr>
        </xdr:nvSpPr>
        <xdr:spPr bwMode="auto">
          <a:xfrm flipH="1" flipV="1">
            <a:off x="887" y="159"/>
            <a:ext cx="3"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4" name="Line 43">
            <a:extLst>
              <a:ext uri="{FF2B5EF4-FFF2-40B4-BE49-F238E27FC236}">
                <a16:creationId xmlns:a16="http://schemas.microsoft.com/office/drawing/2014/main" id="{00000000-0008-0000-0000-00005E000000}"/>
              </a:ext>
            </a:extLst>
          </xdr:cNvPr>
          <xdr:cNvSpPr>
            <a:spLocks noChangeShapeType="1"/>
          </xdr:cNvSpPr>
        </xdr:nvSpPr>
        <xdr:spPr bwMode="auto">
          <a:xfrm flipH="1">
            <a:off x="883" y="159"/>
            <a:ext cx="4"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Line 44">
            <a:extLst>
              <a:ext uri="{FF2B5EF4-FFF2-40B4-BE49-F238E27FC236}">
                <a16:creationId xmlns:a16="http://schemas.microsoft.com/office/drawing/2014/main" id="{00000000-0008-0000-0000-00005F000000}"/>
              </a:ext>
            </a:extLst>
          </xdr:cNvPr>
          <xdr:cNvSpPr>
            <a:spLocks noChangeShapeType="1"/>
          </xdr:cNvSpPr>
        </xdr:nvSpPr>
        <xdr:spPr bwMode="auto">
          <a:xfrm flipH="1">
            <a:off x="868" y="174"/>
            <a:ext cx="15" cy="4"/>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6" name="Line 45">
            <a:extLst>
              <a:ext uri="{FF2B5EF4-FFF2-40B4-BE49-F238E27FC236}">
                <a16:creationId xmlns:a16="http://schemas.microsoft.com/office/drawing/2014/main" id="{00000000-0008-0000-0000-000060000000}"/>
              </a:ext>
            </a:extLst>
          </xdr:cNvPr>
          <xdr:cNvSpPr>
            <a:spLocks noChangeShapeType="1"/>
          </xdr:cNvSpPr>
        </xdr:nvSpPr>
        <xdr:spPr bwMode="auto">
          <a:xfrm>
            <a:off x="868" y="178"/>
            <a:ext cx="15" cy="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7" name="Line 46">
            <a:extLst>
              <a:ext uri="{FF2B5EF4-FFF2-40B4-BE49-F238E27FC236}">
                <a16:creationId xmlns:a16="http://schemas.microsoft.com/office/drawing/2014/main" id="{00000000-0008-0000-0000-000061000000}"/>
              </a:ext>
            </a:extLst>
          </xdr:cNvPr>
          <xdr:cNvSpPr>
            <a:spLocks noChangeShapeType="1"/>
          </xdr:cNvSpPr>
        </xdr:nvSpPr>
        <xdr:spPr bwMode="auto">
          <a:xfrm>
            <a:off x="883" y="181"/>
            <a:ext cx="4"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8" name="Line 47">
            <a:extLst>
              <a:ext uri="{FF2B5EF4-FFF2-40B4-BE49-F238E27FC236}">
                <a16:creationId xmlns:a16="http://schemas.microsoft.com/office/drawing/2014/main" id="{00000000-0008-0000-0000-000062000000}"/>
              </a:ext>
            </a:extLst>
          </xdr:cNvPr>
          <xdr:cNvSpPr>
            <a:spLocks noChangeShapeType="1"/>
          </xdr:cNvSpPr>
        </xdr:nvSpPr>
        <xdr:spPr bwMode="auto">
          <a:xfrm flipV="1">
            <a:off x="887" y="181"/>
            <a:ext cx="3"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9" name="Line 48">
            <a:extLst>
              <a:ext uri="{FF2B5EF4-FFF2-40B4-BE49-F238E27FC236}">
                <a16:creationId xmlns:a16="http://schemas.microsoft.com/office/drawing/2014/main" id="{00000000-0008-0000-0000-000063000000}"/>
              </a:ext>
            </a:extLst>
          </xdr:cNvPr>
          <xdr:cNvSpPr>
            <a:spLocks noChangeShapeType="1"/>
          </xdr:cNvSpPr>
        </xdr:nvSpPr>
        <xdr:spPr bwMode="auto">
          <a:xfrm flipV="1">
            <a:off x="890" y="178"/>
            <a:ext cx="16" cy="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0" name="Line 49">
            <a:extLst>
              <a:ext uri="{FF2B5EF4-FFF2-40B4-BE49-F238E27FC236}">
                <a16:creationId xmlns:a16="http://schemas.microsoft.com/office/drawing/2014/main" id="{00000000-0008-0000-0000-000064000000}"/>
              </a:ext>
            </a:extLst>
          </xdr:cNvPr>
          <xdr:cNvSpPr>
            <a:spLocks noChangeShapeType="1"/>
          </xdr:cNvSpPr>
        </xdr:nvSpPr>
        <xdr:spPr bwMode="auto">
          <a:xfrm flipH="1" flipV="1">
            <a:off x="890" y="174"/>
            <a:ext cx="16" cy="4"/>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1" name="Oval 50">
            <a:extLst>
              <a:ext uri="{FF2B5EF4-FFF2-40B4-BE49-F238E27FC236}">
                <a16:creationId xmlns:a16="http://schemas.microsoft.com/office/drawing/2014/main" id="{00000000-0008-0000-0000-000065000000}"/>
              </a:ext>
            </a:extLst>
          </xdr:cNvPr>
          <xdr:cNvSpPr>
            <a:spLocks noChangeArrowheads="1"/>
          </xdr:cNvSpPr>
        </xdr:nvSpPr>
        <xdr:spPr bwMode="auto">
          <a:xfrm>
            <a:off x="846" y="138"/>
            <a:ext cx="81" cy="81"/>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85725</xdr:colOff>
      <xdr:row>33</xdr:row>
      <xdr:rowOff>161925</xdr:rowOff>
    </xdr:from>
    <xdr:to>
      <xdr:col>2</xdr:col>
      <xdr:colOff>123825</xdr:colOff>
      <xdr:row>34</xdr:row>
      <xdr:rowOff>217170</xdr:rowOff>
    </xdr:to>
    <xdr:grpSp>
      <xdr:nvGrpSpPr>
        <xdr:cNvPr id="102" name="Group 1">
          <a:extLst>
            <a:ext uri="{FF2B5EF4-FFF2-40B4-BE49-F238E27FC236}">
              <a16:creationId xmlns:a16="http://schemas.microsoft.com/office/drawing/2014/main" id="{67B12974-1489-4010-9DD9-28CCBA665504}"/>
            </a:ext>
          </a:extLst>
        </xdr:cNvPr>
        <xdr:cNvGrpSpPr>
          <a:grpSpLocks/>
        </xdr:cNvGrpSpPr>
      </xdr:nvGrpSpPr>
      <xdr:grpSpPr bwMode="auto">
        <a:xfrm>
          <a:off x="242607" y="10504954"/>
          <a:ext cx="497542" cy="436245"/>
          <a:chOff x="846" y="138"/>
          <a:chExt cx="81" cy="81"/>
        </a:xfrm>
      </xdr:grpSpPr>
      <xdr:sp macro="" textlink="">
        <xdr:nvSpPr>
          <xdr:cNvPr id="103" name="Freeform 2">
            <a:extLst>
              <a:ext uri="{FF2B5EF4-FFF2-40B4-BE49-F238E27FC236}">
                <a16:creationId xmlns:a16="http://schemas.microsoft.com/office/drawing/2014/main" id="{97A06898-0101-4D95-B19E-157BE1EA160A}"/>
              </a:ext>
            </a:extLst>
          </xdr:cNvPr>
          <xdr:cNvSpPr>
            <a:spLocks/>
          </xdr:cNvSpPr>
        </xdr:nvSpPr>
        <xdr:spPr bwMode="auto">
          <a:xfrm>
            <a:off x="887" y="185"/>
            <a:ext cx="7"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365" y="0"/>
                </a:moveTo>
                <a:lnTo>
                  <a:pt x="0" y="550"/>
                </a:lnTo>
                <a:lnTo>
                  <a:pt x="0" y="1591"/>
                </a:lnTo>
                <a:lnTo>
                  <a:pt x="365" y="0"/>
                </a:lnTo>
                <a:close/>
              </a:path>
            </a:pathLst>
          </a:custGeom>
          <a:solidFill>
            <a:srgbClr val="000000"/>
          </a:solidFill>
          <a:ln w="12700">
            <a:solidFill>
              <a:srgbClr val="000000"/>
            </a:solidFill>
            <a:round/>
            <a:headEnd/>
            <a:tailEnd/>
          </a:ln>
        </xdr:spPr>
      </xdr:sp>
      <xdr:sp macro="" textlink="">
        <xdr:nvSpPr>
          <xdr:cNvPr id="104" name="Freeform 3">
            <a:extLst>
              <a:ext uri="{FF2B5EF4-FFF2-40B4-BE49-F238E27FC236}">
                <a16:creationId xmlns:a16="http://schemas.microsoft.com/office/drawing/2014/main" id="{92C3CA7E-49C5-4C55-AB53-28AF8389B976}"/>
              </a:ext>
            </a:extLst>
          </xdr:cNvPr>
          <xdr:cNvSpPr>
            <a:spLocks/>
          </xdr:cNvSpPr>
        </xdr:nvSpPr>
        <xdr:spPr bwMode="auto">
          <a:xfrm>
            <a:off x="887" y="185"/>
            <a:ext cx="7"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365" y="0"/>
                </a:moveTo>
                <a:lnTo>
                  <a:pt x="0" y="550"/>
                </a:lnTo>
                <a:lnTo>
                  <a:pt x="0" y="1591"/>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5" name="Freeform 4">
            <a:extLst>
              <a:ext uri="{FF2B5EF4-FFF2-40B4-BE49-F238E27FC236}">
                <a16:creationId xmlns:a16="http://schemas.microsoft.com/office/drawing/2014/main" id="{75E361F6-F7D7-47C0-999F-A319EE5BCF81}"/>
              </a:ext>
            </a:extLst>
          </xdr:cNvPr>
          <xdr:cNvSpPr>
            <a:spLocks/>
          </xdr:cNvSpPr>
        </xdr:nvSpPr>
        <xdr:spPr bwMode="auto">
          <a:xfrm>
            <a:off x="879" y="185"/>
            <a:ext cx="8"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0" y="0"/>
                </a:moveTo>
                <a:lnTo>
                  <a:pt x="365" y="1591"/>
                </a:lnTo>
                <a:lnTo>
                  <a:pt x="365" y="550"/>
                </a:lnTo>
                <a:lnTo>
                  <a:pt x="0" y="0"/>
                </a:lnTo>
                <a:close/>
              </a:path>
            </a:pathLst>
          </a:custGeom>
          <a:solidFill>
            <a:srgbClr val="000000"/>
          </a:solidFill>
          <a:ln w="12700">
            <a:solidFill>
              <a:srgbClr val="000000"/>
            </a:solidFill>
            <a:round/>
            <a:headEnd/>
            <a:tailEnd/>
          </a:ln>
        </xdr:spPr>
      </xdr:sp>
      <xdr:sp macro="" textlink="">
        <xdr:nvSpPr>
          <xdr:cNvPr id="106" name="Freeform 5">
            <a:extLst>
              <a:ext uri="{FF2B5EF4-FFF2-40B4-BE49-F238E27FC236}">
                <a16:creationId xmlns:a16="http://schemas.microsoft.com/office/drawing/2014/main" id="{C21FB6E0-6028-4E09-AD9C-E4557ED30FD1}"/>
              </a:ext>
            </a:extLst>
          </xdr:cNvPr>
          <xdr:cNvSpPr>
            <a:spLocks/>
          </xdr:cNvSpPr>
        </xdr:nvSpPr>
        <xdr:spPr bwMode="auto">
          <a:xfrm>
            <a:off x="879" y="185"/>
            <a:ext cx="8"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0" y="0"/>
                </a:moveTo>
                <a:lnTo>
                  <a:pt x="365" y="1591"/>
                </a:lnTo>
                <a:lnTo>
                  <a:pt x="365" y="55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7" name="Freeform 6">
            <a:extLst>
              <a:ext uri="{FF2B5EF4-FFF2-40B4-BE49-F238E27FC236}">
                <a16:creationId xmlns:a16="http://schemas.microsoft.com/office/drawing/2014/main" id="{DF1913D0-4801-4074-86E3-B8D7F78AAAAF}"/>
              </a:ext>
            </a:extLst>
          </xdr:cNvPr>
          <xdr:cNvSpPr>
            <a:spLocks/>
          </xdr:cNvSpPr>
        </xdr:nvSpPr>
        <xdr:spPr bwMode="auto">
          <a:xfrm>
            <a:off x="887" y="181"/>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72" y="0"/>
                </a:moveTo>
                <a:lnTo>
                  <a:pt x="0" y="746"/>
                </a:lnTo>
                <a:lnTo>
                  <a:pt x="365" y="196"/>
                </a:lnTo>
                <a:lnTo>
                  <a:pt x="172" y="0"/>
                </a:lnTo>
                <a:close/>
              </a:path>
            </a:pathLst>
          </a:custGeom>
          <a:solidFill>
            <a:srgbClr val="000000"/>
          </a:solidFill>
          <a:ln w="12700">
            <a:solidFill>
              <a:srgbClr val="000000"/>
            </a:solidFill>
            <a:round/>
            <a:headEnd/>
            <a:tailEnd/>
          </a:ln>
        </xdr:spPr>
      </xdr:sp>
      <xdr:sp macro="" textlink="">
        <xdr:nvSpPr>
          <xdr:cNvPr id="108" name="Freeform 7">
            <a:extLst>
              <a:ext uri="{FF2B5EF4-FFF2-40B4-BE49-F238E27FC236}">
                <a16:creationId xmlns:a16="http://schemas.microsoft.com/office/drawing/2014/main" id="{EAD99B83-2934-443A-95A7-28E9C4C81783}"/>
              </a:ext>
            </a:extLst>
          </xdr:cNvPr>
          <xdr:cNvSpPr>
            <a:spLocks/>
          </xdr:cNvSpPr>
        </xdr:nvSpPr>
        <xdr:spPr bwMode="auto">
          <a:xfrm>
            <a:off x="887" y="181"/>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72" y="0"/>
                </a:moveTo>
                <a:lnTo>
                  <a:pt x="0" y="746"/>
                </a:lnTo>
                <a:lnTo>
                  <a:pt x="365" y="196"/>
                </a:lnTo>
                <a:lnTo>
                  <a:pt x="17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9" name="Freeform 8">
            <a:extLst>
              <a:ext uri="{FF2B5EF4-FFF2-40B4-BE49-F238E27FC236}">
                <a16:creationId xmlns:a16="http://schemas.microsoft.com/office/drawing/2014/main" id="{20070732-B386-4255-BAFD-60B21006EE38}"/>
              </a:ext>
            </a:extLst>
          </xdr:cNvPr>
          <xdr:cNvSpPr>
            <a:spLocks/>
          </xdr:cNvSpPr>
        </xdr:nvSpPr>
        <xdr:spPr bwMode="auto">
          <a:xfrm>
            <a:off x="879" y="181"/>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95" y="0"/>
                </a:moveTo>
                <a:lnTo>
                  <a:pt x="0" y="196"/>
                </a:lnTo>
                <a:lnTo>
                  <a:pt x="365" y="746"/>
                </a:lnTo>
                <a:lnTo>
                  <a:pt x="195" y="0"/>
                </a:lnTo>
                <a:close/>
              </a:path>
            </a:pathLst>
          </a:custGeom>
          <a:solidFill>
            <a:srgbClr val="000000"/>
          </a:solidFill>
          <a:ln w="12700">
            <a:solidFill>
              <a:srgbClr val="000000"/>
            </a:solidFill>
            <a:round/>
            <a:headEnd/>
            <a:tailEnd/>
          </a:ln>
        </xdr:spPr>
      </xdr:sp>
      <xdr:sp macro="" textlink="">
        <xdr:nvSpPr>
          <xdr:cNvPr id="110" name="Freeform 9">
            <a:extLst>
              <a:ext uri="{FF2B5EF4-FFF2-40B4-BE49-F238E27FC236}">
                <a16:creationId xmlns:a16="http://schemas.microsoft.com/office/drawing/2014/main" id="{9909B417-4F57-45DC-A049-C0228ECD499B}"/>
              </a:ext>
            </a:extLst>
          </xdr:cNvPr>
          <xdr:cNvSpPr>
            <a:spLocks/>
          </xdr:cNvSpPr>
        </xdr:nvSpPr>
        <xdr:spPr bwMode="auto">
          <a:xfrm>
            <a:off x="879" y="181"/>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95" y="0"/>
                </a:moveTo>
                <a:lnTo>
                  <a:pt x="0" y="196"/>
                </a:lnTo>
                <a:lnTo>
                  <a:pt x="365" y="746"/>
                </a:lnTo>
                <a:lnTo>
                  <a:pt x="19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1" name="Freeform 10">
            <a:extLst>
              <a:ext uri="{FF2B5EF4-FFF2-40B4-BE49-F238E27FC236}">
                <a16:creationId xmlns:a16="http://schemas.microsoft.com/office/drawing/2014/main" id="{AB2F2C9C-6656-4AD4-A537-A19646B51B0A}"/>
              </a:ext>
            </a:extLst>
          </xdr:cNvPr>
          <xdr:cNvSpPr>
            <a:spLocks/>
          </xdr:cNvSpPr>
        </xdr:nvSpPr>
        <xdr:spPr bwMode="auto">
          <a:xfrm>
            <a:off x="890" y="178"/>
            <a:ext cx="37" cy="7"/>
          </a:xfrm>
          <a:custGeom>
            <a:avLst/>
            <a:gdLst>
              <a:gd name="T0" fmla="*/ 0 w 1776"/>
              <a:gd name="T1" fmla="*/ 0 h 368"/>
              <a:gd name="T2" fmla="*/ 0 w 1776"/>
              <a:gd name="T3" fmla="*/ 0 h 368"/>
              <a:gd name="T4" fmla="*/ 0 w 1776"/>
              <a:gd name="T5" fmla="*/ 0 h 368"/>
              <a:gd name="T6" fmla="*/ 0 w 1776"/>
              <a:gd name="T7" fmla="*/ 0 h 368"/>
              <a:gd name="T8" fmla="*/ 0 60000 65536"/>
              <a:gd name="T9" fmla="*/ 0 60000 65536"/>
              <a:gd name="T10" fmla="*/ 0 60000 65536"/>
              <a:gd name="T11" fmla="*/ 0 60000 65536"/>
              <a:gd name="T12" fmla="*/ 0 w 1776"/>
              <a:gd name="T13" fmla="*/ 0 h 368"/>
              <a:gd name="T14" fmla="*/ 1776 w 1776"/>
              <a:gd name="T15" fmla="*/ 368 h 368"/>
            </a:gdLst>
            <a:ahLst/>
            <a:cxnLst>
              <a:cxn ang="T8">
                <a:pos x="T0" y="T1"/>
              </a:cxn>
              <a:cxn ang="T9">
                <a:pos x="T2" y="T3"/>
              </a:cxn>
              <a:cxn ang="T10">
                <a:pos x="T4" y="T5"/>
              </a:cxn>
              <a:cxn ang="T11">
                <a:pos x="T6" y="T7"/>
              </a:cxn>
            </a:cxnLst>
            <a:rect l="T12" t="T13" r="T14" b="T15"/>
            <a:pathLst>
              <a:path w="1776" h="368">
                <a:moveTo>
                  <a:pt x="1776" y="0"/>
                </a:moveTo>
                <a:lnTo>
                  <a:pt x="0" y="172"/>
                </a:lnTo>
                <a:lnTo>
                  <a:pt x="193" y="368"/>
                </a:lnTo>
                <a:lnTo>
                  <a:pt x="1776" y="0"/>
                </a:lnTo>
                <a:close/>
              </a:path>
            </a:pathLst>
          </a:custGeom>
          <a:solidFill>
            <a:srgbClr val="000000"/>
          </a:solidFill>
          <a:ln w="12700">
            <a:solidFill>
              <a:srgbClr val="000000"/>
            </a:solidFill>
            <a:round/>
            <a:headEnd/>
            <a:tailEnd/>
          </a:ln>
        </xdr:spPr>
      </xdr:sp>
      <xdr:sp macro="" textlink="">
        <xdr:nvSpPr>
          <xdr:cNvPr id="112" name="Freeform 11">
            <a:extLst>
              <a:ext uri="{FF2B5EF4-FFF2-40B4-BE49-F238E27FC236}">
                <a16:creationId xmlns:a16="http://schemas.microsoft.com/office/drawing/2014/main" id="{11CD87D1-56B9-4CB8-9CA8-1719020FE04C}"/>
              </a:ext>
            </a:extLst>
          </xdr:cNvPr>
          <xdr:cNvSpPr>
            <a:spLocks/>
          </xdr:cNvSpPr>
        </xdr:nvSpPr>
        <xdr:spPr bwMode="auto">
          <a:xfrm>
            <a:off x="890" y="178"/>
            <a:ext cx="37" cy="7"/>
          </a:xfrm>
          <a:custGeom>
            <a:avLst/>
            <a:gdLst>
              <a:gd name="T0" fmla="*/ 0 w 1776"/>
              <a:gd name="T1" fmla="*/ 0 h 368"/>
              <a:gd name="T2" fmla="*/ 0 w 1776"/>
              <a:gd name="T3" fmla="*/ 0 h 368"/>
              <a:gd name="T4" fmla="*/ 0 w 1776"/>
              <a:gd name="T5" fmla="*/ 0 h 368"/>
              <a:gd name="T6" fmla="*/ 0 w 1776"/>
              <a:gd name="T7" fmla="*/ 0 h 368"/>
              <a:gd name="T8" fmla="*/ 0 60000 65536"/>
              <a:gd name="T9" fmla="*/ 0 60000 65536"/>
              <a:gd name="T10" fmla="*/ 0 60000 65536"/>
              <a:gd name="T11" fmla="*/ 0 60000 65536"/>
              <a:gd name="T12" fmla="*/ 0 w 1776"/>
              <a:gd name="T13" fmla="*/ 0 h 368"/>
              <a:gd name="T14" fmla="*/ 1776 w 1776"/>
              <a:gd name="T15" fmla="*/ 368 h 368"/>
            </a:gdLst>
            <a:ahLst/>
            <a:cxnLst>
              <a:cxn ang="T8">
                <a:pos x="T0" y="T1"/>
              </a:cxn>
              <a:cxn ang="T9">
                <a:pos x="T2" y="T3"/>
              </a:cxn>
              <a:cxn ang="T10">
                <a:pos x="T4" y="T5"/>
              </a:cxn>
              <a:cxn ang="T11">
                <a:pos x="T6" y="T7"/>
              </a:cxn>
            </a:cxnLst>
            <a:rect l="T12" t="T13" r="T14" b="T15"/>
            <a:pathLst>
              <a:path w="1776" h="368">
                <a:moveTo>
                  <a:pt x="1776" y="0"/>
                </a:moveTo>
                <a:lnTo>
                  <a:pt x="0" y="172"/>
                </a:lnTo>
                <a:lnTo>
                  <a:pt x="193" y="368"/>
                </a:lnTo>
                <a:lnTo>
                  <a:pt x="1776"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3" name="Freeform 12">
            <a:extLst>
              <a:ext uri="{FF2B5EF4-FFF2-40B4-BE49-F238E27FC236}">
                <a16:creationId xmlns:a16="http://schemas.microsoft.com/office/drawing/2014/main" id="{8E0727EE-159C-44B8-A8EB-B74981186A6B}"/>
              </a:ext>
            </a:extLst>
          </xdr:cNvPr>
          <xdr:cNvSpPr>
            <a:spLocks/>
          </xdr:cNvSpPr>
        </xdr:nvSpPr>
        <xdr:spPr bwMode="auto">
          <a:xfrm>
            <a:off x="890" y="178"/>
            <a:ext cx="37" cy="3"/>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742" y="0"/>
                </a:moveTo>
                <a:lnTo>
                  <a:pt x="0" y="172"/>
                </a:lnTo>
                <a:lnTo>
                  <a:pt x="1776" y="0"/>
                </a:lnTo>
                <a:lnTo>
                  <a:pt x="742" y="0"/>
                </a:lnTo>
                <a:close/>
              </a:path>
            </a:pathLst>
          </a:custGeom>
          <a:solidFill>
            <a:srgbClr val="000000"/>
          </a:solidFill>
          <a:ln w="12700">
            <a:solidFill>
              <a:srgbClr val="000000"/>
            </a:solidFill>
            <a:round/>
            <a:headEnd/>
            <a:tailEnd/>
          </a:ln>
        </xdr:spPr>
      </xdr:sp>
      <xdr:sp macro="" textlink="">
        <xdr:nvSpPr>
          <xdr:cNvPr id="114" name="Freeform 13">
            <a:extLst>
              <a:ext uri="{FF2B5EF4-FFF2-40B4-BE49-F238E27FC236}">
                <a16:creationId xmlns:a16="http://schemas.microsoft.com/office/drawing/2014/main" id="{25F55A22-8874-4B6F-B533-3579C2747BA6}"/>
              </a:ext>
            </a:extLst>
          </xdr:cNvPr>
          <xdr:cNvSpPr>
            <a:spLocks/>
          </xdr:cNvSpPr>
        </xdr:nvSpPr>
        <xdr:spPr bwMode="auto">
          <a:xfrm>
            <a:off x="890" y="178"/>
            <a:ext cx="37" cy="3"/>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742" y="0"/>
                </a:moveTo>
                <a:lnTo>
                  <a:pt x="0" y="172"/>
                </a:lnTo>
                <a:lnTo>
                  <a:pt x="1776" y="0"/>
                </a:lnTo>
                <a:lnTo>
                  <a:pt x="74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5" name="Freeform 14">
            <a:extLst>
              <a:ext uri="{FF2B5EF4-FFF2-40B4-BE49-F238E27FC236}">
                <a16:creationId xmlns:a16="http://schemas.microsoft.com/office/drawing/2014/main" id="{B12728D7-3B32-4078-AEC4-6CACFD44D48F}"/>
              </a:ext>
            </a:extLst>
          </xdr:cNvPr>
          <xdr:cNvSpPr>
            <a:spLocks/>
          </xdr:cNvSpPr>
        </xdr:nvSpPr>
        <xdr:spPr bwMode="auto">
          <a:xfrm>
            <a:off x="868" y="178"/>
            <a:ext cx="15" cy="7"/>
          </a:xfrm>
          <a:custGeom>
            <a:avLst/>
            <a:gdLst>
              <a:gd name="T0" fmla="*/ 0 w 743"/>
              <a:gd name="T1" fmla="*/ 0 h 368"/>
              <a:gd name="T2" fmla="*/ 0 w 743"/>
              <a:gd name="T3" fmla="*/ 0 h 368"/>
              <a:gd name="T4" fmla="*/ 0 w 743"/>
              <a:gd name="T5" fmla="*/ 0 h 368"/>
              <a:gd name="T6" fmla="*/ 0 w 743"/>
              <a:gd name="T7" fmla="*/ 0 h 368"/>
              <a:gd name="T8" fmla="*/ 0 60000 65536"/>
              <a:gd name="T9" fmla="*/ 0 60000 65536"/>
              <a:gd name="T10" fmla="*/ 0 60000 65536"/>
              <a:gd name="T11" fmla="*/ 0 60000 65536"/>
              <a:gd name="T12" fmla="*/ 0 w 743"/>
              <a:gd name="T13" fmla="*/ 0 h 368"/>
              <a:gd name="T14" fmla="*/ 743 w 743"/>
              <a:gd name="T15" fmla="*/ 368 h 368"/>
            </a:gdLst>
            <a:ahLst/>
            <a:cxnLst>
              <a:cxn ang="T8">
                <a:pos x="T0" y="T1"/>
              </a:cxn>
              <a:cxn ang="T9">
                <a:pos x="T2" y="T3"/>
              </a:cxn>
              <a:cxn ang="T10">
                <a:pos x="T4" y="T5"/>
              </a:cxn>
              <a:cxn ang="T11">
                <a:pos x="T6" y="T7"/>
              </a:cxn>
            </a:cxnLst>
            <a:rect l="T12" t="T13" r="T14" b="T15"/>
            <a:pathLst>
              <a:path w="743" h="368">
                <a:moveTo>
                  <a:pt x="0" y="0"/>
                </a:moveTo>
                <a:lnTo>
                  <a:pt x="548" y="368"/>
                </a:lnTo>
                <a:lnTo>
                  <a:pt x="743" y="172"/>
                </a:lnTo>
                <a:lnTo>
                  <a:pt x="0" y="0"/>
                </a:lnTo>
                <a:close/>
              </a:path>
            </a:pathLst>
          </a:custGeom>
          <a:solidFill>
            <a:srgbClr val="000000"/>
          </a:solidFill>
          <a:ln w="12700">
            <a:solidFill>
              <a:srgbClr val="000000"/>
            </a:solidFill>
            <a:round/>
            <a:headEnd/>
            <a:tailEnd/>
          </a:ln>
        </xdr:spPr>
      </xdr:sp>
      <xdr:sp macro="" textlink="">
        <xdr:nvSpPr>
          <xdr:cNvPr id="116" name="Freeform 15">
            <a:extLst>
              <a:ext uri="{FF2B5EF4-FFF2-40B4-BE49-F238E27FC236}">
                <a16:creationId xmlns:a16="http://schemas.microsoft.com/office/drawing/2014/main" id="{892DE93B-1427-40CA-AD72-2F22F9D78A99}"/>
              </a:ext>
            </a:extLst>
          </xdr:cNvPr>
          <xdr:cNvSpPr>
            <a:spLocks/>
          </xdr:cNvSpPr>
        </xdr:nvSpPr>
        <xdr:spPr bwMode="auto">
          <a:xfrm>
            <a:off x="868" y="178"/>
            <a:ext cx="15" cy="7"/>
          </a:xfrm>
          <a:custGeom>
            <a:avLst/>
            <a:gdLst>
              <a:gd name="T0" fmla="*/ 0 w 743"/>
              <a:gd name="T1" fmla="*/ 0 h 368"/>
              <a:gd name="T2" fmla="*/ 0 w 743"/>
              <a:gd name="T3" fmla="*/ 0 h 368"/>
              <a:gd name="T4" fmla="*/ 0 w 743"/>
              <a:gd name="T5" fmla="*/ 0 h 368"/>
              <a:gd name="T6" fmla="*/ 0 w 743"/>
              <a:gd name="T7" fmla="*/ 0 h 368"/>
              <a:gd name="T8" fmla="*/ 0 60000 65536"/>
              <a:gd name="T9" fmla="*/ 0 60000 65536"/>
              <a:gd name="T10" fmla="*/ 0 60000 65536"/>
              <a:gd name="T11" fmla="*/ 0 60000 65536"/>
              <a:gd name="T12" fmla="*/ 0 w 743"/>
              <a:gd name="T13" fmla="*/ 0 h 368"/>
              <a:gd name="T14" fmla="*/ 743 w 743"/>
              <a:gd name="T15" fmla="*/ 368 h 368"/>
            </a:gdLst>
            <a:ahLst/>
            <a:cxnLst>
              <a:cxn ang="T8">
                <a:pos x="T0" y="T1"/>
              </a:cxn>
              <a:cxn ang="T9">
                <a:pos x="T2" y="T3"/>
              </a:cxn>
              <a:cxn ang="T10">
                <a:pos x="T4" y="T5"/>
              </a:cxn>
              <a:cxn ang="T11">
                <a:pos x="T6" y="T7"/>
              </a:cxn>
            </a:cxnLst>
            <a:rect l="T12" t="T13" r="T14" b="T15"/>
            <a:pathLst>
              <a:path w="743" h="368">
                <a:moveTo>
                  <a:pt x="0" y="0"/>
                </a:moveTo>
                <a:lnTo>
                  <a:pt x="548" y="368"/>
                </a:lnTo>
                <a:lnTo>
                  <a:pt x="743" y="17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7" name="Freeform 16">
            <a:extLst>
              <a:ext uri="{FF2B5EF4-FFF2-40B4-BE49-F238E27FC236}">
                <a16:creationId xmlns:a16="http://schemas.microsoft.com/office/drawing/2014/main" id="{B4702C97-264E-420F-941F-CA18F233AC9B}"/>
              </a:ext>
            </a:extLst>
          </xdr:cNvPr>
          <xdr:cNvSpPr>
            <a:spLocks/>
          </xdr:cNvSpPr>
        </xdr:nvSpPr>
        <xdr:spPr bwMode="auto">
          <a:xfrm>
            <a:off x="847" y="178"/>
            <a:ext cx="32" cy="7"/>
          </a:xfrm>
          <a:custGeom>
            <a:avLst/>
            <a:gdLst>
              <a:gd name="T0" fmla="*/ 0 w 1582"/>
              <a:gd name="T1" fmla="*/ 0 h 368"/>
              <a:gd name="T2" fmla="*/ 0 w 1582"/>
              <a:gd name="T3" fmla="*/ 0 h 368"/>
              <a:gd name="T4" fmla="*/ 0 w 1582"/>
              <a:gd name="T5" fmla="*/ 0 h 368"/>
              <a:gd name="T6" fmla="*/ 0 w 1582"/>
              <a:gd name="T7" fmla="*/ 0 h 368"/>
              <a:gd name="T8" fmla="*/ 0 60000 65536"/>
              <a:gd name="T9" fmla="*/ 0 60000 65536"/>
              <a:gd name="T10" fmla="*/ 0 60000 65536"/>
              <a:gd name="T11" fmla="*/ 0 60000 65536"/>
              <a:gd name="T12" fmla="*/ 0 w 1582"/>
              <a:gd name="T13" fmla="*/ 0 h 368"/>
              <a:gd name="T14" fmla="*/ 1582 w 1582"/>
              <a:gd name="T15" fmla="*/ 368 h 368"/>
            </a:gdLst>
            <a:ahLst/>
            <a:cxnLst>
              <a:cxn ang="T8">
                <a:pos x="T0" y="T1"/>
              </a:cxn>
              <a:cxn ang="T9">
                <a:pos x="T2" y="T3"/>
              </a:cxn>
              <a:cxn ang="T10">
                <a:pos x="T4" y="T5"/>
              </a:cxn>
              <a:cxn ang="T11">
                <a:pos x="T6" y="T7"/>
              </a:cxn>
            </a:cxnLst>
            <a:rect l="T12" t="T13" r="T14" b="T15"/>
            <a:pathLst>
              <a:path w="1582" h="368">
                <a:moveTo>
                  <a:pt x="0" y="0"/>
                </a:moveTo>
                <a:lnTo>
                  <a:pt x="1582" y="368"/>
                </a:lnTo>
                <a:lnTo>
                  <a:pt x="1034" y="0"/>
                </a:lnTo>
                <a:lnTo>
                  <a:pt x="0" y="0"/>
                </a:lnTo>
                <a:close/>
              </a:path>
            </a:pathLst>
          </a:custGeom>
          <a:solidFill>
            <a:srgbClr val="000000"/>
          </a:solidFill>
          <a:ln w="12700">
            <a:solidFill>
              <a:srgbClr val="000000"/>
            </a:solidFill>
            <a:round/>
            <a:headEnd/>
            <a:tailEnd/>
          </a:ln>
        </xdr:spPr>
      </xdr:sp>
      <xdr:sp macro="" textlink="">
        <xdr:nvSpPr>
          <xdr:cNvPr id="118" name="Freeform 17">
            <a:extLst>
              <a:ext uri="{FF2B5EF4-FFF2-40B4-BE49-F238E27FC236}">
                <a16:creationId xmlns:a16="http://schemas.microsoft.com/office/drawing/2014/main" id="{C66140CA-0163-4342-8DD9-BC903042CC39}"/>
              </a:ext>
            </a:extLst>
          </xdr:cNvPr>
          <xdr:cNvSpPr>
            <a:spLocks/>
          </xdr:cNvSpPr>
        </xdr:nvSpPr>
        <xdr:spPr bwMode="auto">
          <a:xfrm>
            <a:off x="847" y="178"/>
            <a:ext cx="32" cy="7"/>
          </a:xfrm>
          <a:custGeom>
            <a:avLst/>
            <a:gdLst>
              <a:gd name="T0" fmla="*/ 0 w 1582"/>
              <a:gd name="T1" fmla="*/ 0 h 368"/>
              <a:gd name="T2" fmla="*/ 0 w 1582"/>
              <a:gd name="T3" fmla="*/ 0 h 368"/>
              <a:gd name="T4" fmla="*/ 0 w 1582"/>
              <a:gd name="T5" fmla="*/ 0 h 368"/>
              <a:gd name="T6" fmla="*/ 0 w 1582"/>
              <a:gd name="T7" fmla="*/ 0 h 368"/>
              <a:gd name="T8" fmla="*/ 0 60000 65536"/>
              <a:gd name="T9" fmla="*/ 0 60000 65536"/>
              <a:gd name="T10" fmla="*/ 0 60000 65536"/>
              <a:gd name="T11" fmla="*/ 0 60000 65536"/>
              <a:gd name="T12" fmla="*/ 0 w 1582"/>
              <a:gd name="T13" fmla="*/ 0 h 368"/>
              <a:gd name="T14" fmla="*/ 1582 w 1582"/>
              <a:gd name="T15" fmla="*/ 368 h 368"/>
            </a:gdLst>
            <a:ahLst/>
            <a:cxnLst>
              <a:cxn ang="T8">
                <a:pos x="T0" y="T1"/>
              </a:cxn>
              <a:cxn ang="T9">
                <a:pos x="T2" y="T3"/>
              </a:cxn>
              <a:cxn ang="T10">
                <a:pos x="T4" y="T5"/>
              </a:cxn>
              <a:cxn ang="T11">
                <a:pos x="T6" y="T7"/>
              </a:cxn>
            </a:cxnLst>
            <a:rect l="T12" t="T13" r="T14" b="T15"/>
            <a:pathLst>
              <a:path w="1582" h="368">
                <a:moveTo>
                  <a:pt x="0" y="0"/>
                </a:moveTo>
                <a:lnTo>
                  <a:pt x="1582" y="368"/>
                </a:lnTo>
                <a:lnTo>
                  <a:pt x="1034" y="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9" name="Freeform 18">
            <a:extLst>
              <a:ext uri="{FF2B5EF4-FFF2-40B4-BE49-F238E27FC236}">
                <a16:creationId xmlns:a16="http://schemas.microsoft.com/office/drawing/2014/main" id="{F5F6200B-6BC7-4222-A3ED-F29D3169D110}"/>
              </a:ext>
            </a:extLst>
          </xdr:cNvPr>
          <xdr:cNvSpPr>
            <a:spLocks/>
          </xdr:cNvSpPr>
        </xdr:nvSpPr>
        <xdr:spPr bwMode="auto">
          <a:xfrm>
            <a:off x="890" y="174"/>
            <a:ext cx="37" cy="4"/>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0" y="0"/>
                </a:moveTo>
                <a:lnTo>
                  <a:pt x="742" y="172"/>
                </a:lnTo>
                <a:lnTo>
                  <a:pt x="1776" y="172"/>
                </a:lnTo>
                <a:lnTo>
                  <a:pt x="0" y="0"/>
                </a:lnTo>
                <a:close/>
              </a:path>
            </a:pathLst>
          </a:custGeom>
          <a:solidFill>
            <a:srgbClr val="000000"/>
          </a:solidFill>
          <a:ln w="12700">
            <a:solidFill>
              <a:srgbClr val="000000"/>
            </a:solidFill>
            <a:round/>
            <a:headEnd/>
            <a:tailEnd/>
          </a:ln>
        </xdr:spPr>
      </xdr:sp>
      <xdr:sp macro="" textlink="">
        <xdr:nvSpPr>
          <xdr:cNvPr id="120" name="Freeform 19">
            <a:extLst>
              <a:ext uri="{FF2B5EF4-FFF2-40B4-BE49-F238E27FC236}">
                <a16:creationId xmlns:a16="http://schemas.microsoft.com/office/drawing/2014/main" id="{2377BA92-FA45-491F-97E8-0842C281C87F}"/>
              </a:ext>
            </a:extLst>
          </xdr:cNvPr>
          <xdr:cNvSpPr>
            <a:spLocks/>
          </xdr:cNvSpPr>
        </xdr:nvSpPr>
        <xdr:spPr bwMode="auto">
          <a:xfrm>
            <a:off x="890" y="174"/>
            <a:ext cx="37" cy="4"/>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0" y="0"/>
                </a:moveTo>
                <a:lnTo>
                  <a:pt x="742" y="172"/>
                </a:lnTo>
                <a:lnTo>
                  <a:pt x="1776" y="17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1" name="Freeform 20">
            <a:extLst>
              <a:ext uri="{FF2B5EF4-FFF2-40B4-BE49-F238E27FC236}">
                <a16:creationId xmlns:a16="http://schemas.microsoft.com/office/drawing/2014/main" id="{F157EB54-860B-4701-B193-AB2ECDD23DCE}"/>
              </a:ext>
            </a:extLst>
          </xdr:cNvPr>
          <xdr:cNvSpPr>
            <a:spLocks/>
          </xdr:cNvSpPr>
        </xdr:nvSpPr>
        <xdr:spPr bwMode="auto">
          <a:xfrm>
            <a:off x="847" y="174"/>
            <a:ext cx="36" cy="4"/>
          </a:xfrm>
          <a:custGeom>
            <a:avLst/>
            <a:gdLst>
              <a:gd name="T0" fmla="*/ 0 w 1777"/>
              <a:gd name="T1" fmla="*/ 0 h 172"/>
              <a:gd name="T2" fmla="*/ 0 w 1777"/>
              <a:gd name="T3" fmla="*/ 0 h 172"/>
              <a:gd name="T4" fmla="*/ 0 w 1777"/>
              <a:gd name="T5" fmla="*/ 0 h 172"/>
              <a:gd name="T6" fmla="*/ 0 w 1777"/>
              <a:gd name="T7" fmla="*/ 0 h 172"/>
              <a:gd name="T8" fmla="*/ 0 60000 65536"/>
              <a:gd name="T9" fmla="*/ 0 60000 65536"/>
              <a:gd name="T10" fmla="*/ 0 60000 65536"/>
              <a:gd name="T11" fmla="*/ 0 60000 65536"/>
              <a:gd name="T12" fmla="*/ 0 w 1777"/>
              <a:gd name="T13" fmla="*/ 0 h 172"/>
              <a:gd name="T14" fmla="*/ 1777 w 1777"/>
              <a:gd name="T15" fmla="*/ 172 h 172"/>
            </a:gdLst>
            <a:ahLst/>
            <a:cxnLst>
              <a:cxn ang="T8">
                <a:pos x="T0" y="T1"/>
              </a:cxn>
              <a:cxn ang="T9">
                <a:pos x="T2" y="T3"/>
              </a:cxn>
              <a:cxn ang="T10">
                <a:pos x="T4" y="T5"/>
              </a:cxn>
              <a:cxn ang="T11">
                <a:pos x="T6" y="T7"/>
              </a:cxn>
            </a:cxnLst>
            <a:rect l="T12" t="T13" r="T14" b="T15"/>
            <a:pathLst>
              <a:path w="1777" h="172">
                <a:moveTo>
                  <a:pt x="1777" y="0"/>
                </a:moveTo>
                <a:lnTo>
                  <a:pt x="0" y="172"/>
                </a:lnTo>
                <a:lnTo>
                  <a:pt x="1034" y="172"/>
                </a:lnTo>
                <a:lnTo>
                  <a:pt x="1777" y="0"/>
                </a:lnTo>
                <a:close/>
              </a:path>
            </a:pathLst>
          </a:custGeom>
          <a:solidFill>
            <a:srgbClr val="000000"/>
          </a:solidFill>
          <a:ln w="12700">
            <a:solidFill>
              <a:srgbClr val="000000"/>
            </a:solidFill>
            <a:round/>
            <a:headEnd/>
            <a:tailEnd/>
          </a:ln>
        </xdr:spPr>
      </xdr:sp>
      <xdr:sp macro="" textlink="">
        <xdr:nvSpPr>
          <xdr:cNvPr id="122" name="Freeform 21">
            <a:extLst>
              <a:ext uri="{FF2B5EF4-FFF2-40B4-BE49-F238E27FC236}">
                <a16:creationId xmlns:a16="http://schemas.microsoft.com/office/drawing/2014/main" id="{E514AF8B-50DA-4D75-B5EB-0B5AD6349D75}"/>
              </a:ext>
            </a:extLst>
          </xdr:cNvPr>
          <xdr:cNvSpPr>
            <a:spLocks/>
          </xdr:cNvSpPr>
        </xdr:nvSpPr>
        <xdr:spPr bwMode="auto">
          <a:xfrm>
            <a:off x="847" y="174"/>
            <a:ext cx="36" cy="4"/>
          </a:xfrm>
          <a:custGeom>
            <a:avLst/>
            <a:gdLst>
              <a:gd name="T0" fmla="*/ 0 w 1777"/>
              <a:gd name="T1" fmla="*/ 0 h 172"/>
              <a:gd name="T2" fmla="*/ 0 w 1777"/>
              <a:gd name="T3" fmla="*/ 0 h 172"/>
              <a:gd name="T4" fmla="*/ 0 w 1777"/>
              <a:gd name="T5" fmla="*/ 0 h 172"/>
              <a:gd name="T6" fmla="*/ 0 w 1777"/>
              <a:gd name="T7" fmla="*/ 0 h 172"/>
              <a:gd name="T8" fmla="*/ 0 60000 65536"/>
              <a:gd name="T9" fmla="*/ 0 60000 65536"/>
              <a:gd name="T10" fmla="*/ 0 60000 65536"/>
              <a:gd name="T11" fmla="*/ 0 60000 65536"/>
              <a:gd name="T12" fmla="*/ 0 w 1777"/>
              <a:gd name="T13" fmla="*/ 0 h 172"/>
              <a:gd name="T14" fmla="*/ 1777 w 1777"/>
              <a:gd name="T15" fmla="*/ 172 h 172"/>
            </a:gdLst>
            <a:ahLst/>
            <a:cxnLst>
              <a:cxn ang="T8">
                <a:pos x="T0" y="T1"/>
              </a:cxn>
              <a:cxn ang="T9">
                <a:pos x="T2" y="T3"/>
              </a:cxn>
              <a:cxn ang="T10">
                <a:pos x="T4" y="T5"/>
              </a:cxn>
              <a:cxn ang="T11">
                <a:pos x="T6" y="T7"/>
              </a:cxn>
            </a:cxnLst>
            <a:rect l="T12" t="T13" r="T14" b="T15"/>
            <a:pathLst>
              <a:path w="1777" h="172">
                <a:moveTo>
                  <a:pt x="1777" y="0"/>
                </a:moveTo>
                <a:lnTo>
                  <a:pt x="0" y="172"/>
                </a:lnTo>
                <a:lnTo>
                  <a:pt x="1034" y="172"/>
                </a:lnTo>
                <a:lnTo>
                  <a:pt x="1777"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3" name="Freeform 22">
            <a:extLst>
              <a:ext uri="{FF2B5EF4-FFF2-40B4-BE49-F238E27FC236}">
                <a16:creationId xmlns:a16="http://schemas.microsoft.com/office/drawing/2014/main" id="{55F22133-6ADF-4EEE-AE34-387ED25DD34E}"/>
              </a:ext>
            </a:extLst>
          </xdr:cNvPr>
          <xdr:cNvSpPr>
            <a:spLocks/>
          </xdr:cNvSpPr>
        </xdr:nvSpPr>
        <xdr:spPr bwMode="auto">
          <a:xfrm>
            <a:off x="890" y="170"/>
            <a:ext cx="37" cy="8"/>
          </a:xfrm>
          <a:custGeom>
            <a:avLst/>
            <a:gdLst>
              <a:gd name="T0" fmla="*/ 0 w 1776"/>
              <a:gd name="T1" fmla="*/ 0 h 367"/>
              <a:gd name="T2" fmla="*/ 0 w 1776"/>
              <a:gd name="T3" fmla="*/ 0 h 367"/>
              <a:gd name="T4" fmla="*/ 0 w 1776"/>
              <a:gd name="T5" fmla="*/ 0 h 367"/>
              <a:gd name="T6" fmla="*/ 0 w 1776"/>
              <a:gd name="T7" fmla="*/ 0 h 367"/>
              <a:gd name="T8" fmla="*/ 0 60000 65536"/>
              <a:gd name="T9" fmla="*/ 0 60000 65536"/>
              <a:gd name="T10" fmla="*/ 0 60000 65536"/>
              <a:gd name="T11" fmla="*/ 0 60000 65536"/>
              <a:gd name="T12" fmla="*/ 0 w 1776"/>
              <a:gd name="T13" fmla="*/ 0 h 367"/>
              <a:gd name="T14" fmla="*/ 1776 w 1776"/>
              <a:gd name="T15" fmla="*/ 367 h 367"/>
            </a:gdLst>
            <a:ahLst/>
            <a:cxnLst>
              <a:cxn ang="T8">
                <a:pos x="T0" y="T1"/>
              </a:cxn>
              <a:cxn ang="T9">
                <a:pos x="T2" y="T3"/>
              </a:cxn>
              <a:cxn ang="T10">
                <a:pos x="T4" y="T5"/>
              </a:cxn>
              <a:cxn ang="T11">
                <a:pos x="T6" y="T7"/>
              </a:cxn>
            </a:cxnLst>
            <a:rect l="T12" t="T13" r="T14" b="T15"/>
            <a:pathLst>
              <a:path w="1776" h="367">
                <a:moveTo>
                  <a:pt x="193" y="0"/>
                </a:moveTo>
                <a:lnTo>
                  <a:pt x="0" y="195"/>
                </a:lnTo>
                <a:lnTo>
                  <a:pt x="1776" y="367"/>
                </a:lnTo>
                <a:lnTo>
                  <a:pt x="193" y="0"/>
                </a:lnTo>
                <a:close/>
              </a:path>
            </a:pathLst>
          </a:custGeom>
          <a:solidFill>
            <a:srgbClr val="000000"/>
          </a:solidFill>
          <a:ln w="12700">
            <a:solidFill>
              <a:srgbClr val="000000"/>
            </a:solidFill>
            <a:round/>
            <a:headEnd/>
            <a:tailEnd/>
          </a:ln>
        </xdr:spPr>
      </xdr:sp>
      <xdr:sp macro="" textlink="">
        <xdr:nvSpPr>
          <xdr:cNvPr id="124" name="Freeform 23">
            <a:extLst>
              <a:ext uri="{FF2B5EF4-FFF2-40B4-BE49-F238E27FC236}">
                <a16:creationId xmlns:a16="http://schemas.microsoft.com/office/drawing/2014/main" id="{0FA4F8CE-3B72-4A52-91EE-59931A08CB36}"/>
              </a:ext>
            </a:extLst>
          </xdr:cNvPr>
          <xdr:cNvSpPr>
            <a:spLocks/>
          </xdr:cNvSpPr>
        </xdr:nvSpPr>
        <xdr:spPr bwMode="auto">
          <a:xfrm>
            <a:off x="890" y="170"/>
            <a:ext cx="37" cy="8"/>
          </a:xfrm>
          <a:custGeom>
            <a:avLst/>
            <a:gdLst>
              <a:gd name="T0" fmla="*/ 0 w 1776"/>
              <a:gd name="T1" fmla="*/ 0 h 367"/>
              <a:gd name="T2" fmla="*/ 0 w 1776"/>
              <a:gd name="T3" fmla="*/ 0 h 367"/>
              <a:gd name="T4" fmla="*/ 0 w 1776"/>
              <a:gd name="T5" fmla="*/ 0 h 367"/>
              <a:gd name="T6" fmla="*/ 0 w 1776"/>
              <a:gd name="T7" fmla="*/ 0 h 367"/>
              <a:gd name="T8" fmla="*/ 0 60000 65536"/>
              <a:gd name="T9" fmla="*/ 0 60000 65536"/>
              <a:gd name="T10" fmla="*/ 0 60000 65536"/>
              <a:gd name="T11" fmla="*/ 0 60000 65536"/>
              <a:gd name="T12" fmla="*/ 0 w 1776"/>
              <a:gd name="T13" fmla="*/ 0 h 367"/>
              <a:gd name="T14" fmla="*/ 1776 w 1776"/>
              <a:gd name="T15" fmla="*/ 367 h 367"/>
            </a:gdLst>
            <a:ahLst/>
            <a:cxnLst>
              <a:cxn ang="T8">
                <a:pos x="T0" y="T1"/>
              </a:cxn>
              <a:cxn ang="T9">
                <a:pos x="T2" y="T3"/>
              </a:cxn>
              <a:cxn ang="T10">
                <a:pos x="T4" y="T5"/>
              </a:cxn>
              <a:cxn ang="T11">
                <a:pos x="T6" y="T7"/>
              </a:cxn>
            </a:cxnLst>
            <a:rect l="T12" t="T13" r="T14" b="T15"/>
            <a:pathLst>
              <a:path w="1776" h="367">
                <a:moveTo>
                  <a:pt x="193" y="0"/>
                </a:moveTo>
                <a:lnTo>
                  <a:pt x="0" y="195"/>
                </a:lnTo>
                <a:lnTo>
                  <a:pt x="1776" y="367"/>
                </a:lnTo>
                <a:lnTo>
                  <a:pt x="193"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5" name="Freeform 24">
            <a:extLst>
              <a:ext uri="{FF2B5EF4-FFF2-40B4-BE49-F238E27FC236}">
                <a16:creationId xmlns:a16="http://schemas.microsoft.com/office/drawing/2014/main" id="{930F0435-1EF8-4571-9C74-944DBA6FF089}"/>
              </a:ext>
            </a:extLst>
          </xdr:cNvPr>
          <xdr:cNvSpPr>
            <a:spLocks/>
          </xdr:cNvSpPr>
        </xdr:nvSpPr>
        <xdr:spPr bwMode="auto">
          <a:xfrm>
            <a:off x="847" y="170"/>
            <a:ext cx="36" cy="8"/>
          </a:xfrm>
          <a:custGeom>
            <a:avLst/>
            <a:gdLst>
              <a:gd name="T0" fmla="*/ 0 w 1777"/>
              <a:gd name="T1" fmla="*/ 0 h 367"/>
              <a:gd name="T2" fmla="*/ 0 w 1777"/>
              <a:gd name="T3" fmla="*/ 0 h 367"/>
              <a:gd name="T4" fmla="*/ 0 w 1777"/>
              <a:gd name="T5" fmla="*/ 0 h 367"/>
              <a:gd name="T6" fmla="*/ 0 w 1777"/>
              <a:gd name="T7" fmla="*/ 0 h 367"/>
              <a:gd name="T8" fmla="*/ 0 60000 65536"/>
              <a:gd name="T9" fmla="*/ 0 60000 65536"/>
              <a:gd name="T10" fmla="*/ 0 60000 65536"/>
              <a:gd name="T11" fmla="*/ 0 60000 65536"/>
              <a:gd name="T12" fmla="*/ 0 w 1777"/>
              <a:gd name="T13" fmla="*/ 0 h 367"/>
              <a:gd name="T14" fmla="*/ 1777 w 1777"/>
              <a:gd name="T15" fmla="*/ 367 h 367"/>
            </a:gdLst>
            <a:ahLst/>
            <a:cxnLst>
              <a:cxn ang="T8">
                <a:pos x="T0" y="T1"/>
              </a:cxn>
              <a:cxn ang="T9">
                <a:pos x="T2" y="T3"/>
              </a:cxn>
              <a:cxn ang="T10">
                <a:pos x="T4" y="T5"/>
              </a:cxn>
              <a:cxn ang="T11">
                <a:pos x="T6" y="T7"/>
              </a:cxn>
            </a:cxnLst>
            <a:rect l="T12" t="T13" r="T14" b="T15"/>
            <a:pathLst>
              <a:path w="1777" h="367">
                <a:moveTo>
                  <a:pt x="1582" y="0"/>
                </a:moveTo>
                <a:lnTo>
                  <a:pt x="0" y="367"/>
                </a:lnTo>
                <a:lnTo>
                  <a:pt x="1777" y="195"/>
                </a:lnTo>
                <a:lnTo>
                  <a:pt x="1582" y="0"/>
                </a:lnTo>
                <a:close/>
              </a:path>
            </a:pathLst>
          </a:custGeom>
          <a:solidFill>
            <a:srgbClr val="000000"/>
          </a:solidFill>
          <a:ln w="12700">
            <a:solidFill>
              <a:srgbClr val="000000"/>
            </a:solidFill>
            <a:round/>
            <a:headEnd/>
            <a:tailEnd/>
          </a:ln>
        </xdr:spPr>
      </xdr:sp>
      <xdr:sp macro="" textlink="">
        <xdr:nvSpPr>
          <xdr:cNvPr id="126" name="Freeform 25">
            <a:extLst>
              <a:ext uri="{FF2B5EF4-FFF2-40B4-BE49-F238E27FC236}">
                <a16:creationId xmlns:a16="http://schemas.microsoft.com/office/drawing/2014/main" id="{52D915ED-55AE-455C-BABC-84459AD6C009}"/>
              </a:ext>
            </a:extLst>
          </xdr:cNvPr>
          <xdr:cNvSpPr>
            <a:spLocks/>
          </xdr:cNvSpPr>
        </xdr:nvSpPr>
        <xdr:spPr bwMode="auto">
          <a:xfrm>
            <a:off x="847" y="170"/>
            <a:ext cx="36" cy="8"/>
          </a:xfrm>
          <a:custGeom>
            <a:avLst/>
            <a:gdLst>
              <a:gd name="T0" fmla="*/ 0 w 1777"/>
              <a:gd name="T1" fmla="*/ 0 h 367"/>
              <a:gd name="T2" fmla="*/ 0 w 1777"/>
              <a:gd name="T3" fmla="*/ 0 h 367"/>
              <a:gd name="T4" fmla="*/ 0 w 1777"/>
              <a:gd name="T5" fmla="*/ 0 h 367"/>
              <a:gd name="T6" fmla="*/ 0 w 1777"/>
              <a:gd name="T7" fmla="*/ 0 h 367"/>
              <a:gd name="T8" fmla="*/ 0 60000 65536"/>
              <a:gd name="T9" fmla="*/ 0 60000 65536"/>
              <a:gd name="T10" fmla="*/ 0 60000 65536"/>
              <a:gd name="T11" fmla="*/ 0 60000 65536"/>
              <a:gd name="T12" fmla="*/ 0 w 1777"/>
              <a:gd name="T13" fmla="*/ 0 h 367"/>
              <a:gd name="T14" fmla="*/ 1777 w 1777"/>
              <a:gd name="T15" fmla="*/ 367 h 367"/>
            </a:gdLst>
            <a:ahLst/>
            <a:cxnLst>
              <a:cxn ang="T8">
                <a:pos x="T0" y="T1"/>
              </a:cxn>
              <a:cxn ang="T9">
                <a:pos x="T2" y="T3"/>
              </a:cxn>
              <a:cxn ang="T10">
                <a:pos x="T4" y="T5"/>
              </a:cxn>
              <a:cxn ang="T11">
                <a:pos x="T6" y="T7"/>
              </a:cxn>
            </a:cxnLst>
            <a:rect l="T12" t="T13" r="T14" b="T15"/>
            <a:pathLst>
              <a:path w="1777" h="367">
                <a:moveTo>
                  <a:pt x="1582" y="0"/>
                </a:moveTo>
                <a:lnTo>
                  <a:pt x="0" y="367"/>
                </a:lnTo>
                <a:lnTo>
                  <a:pt x="1777" y="195"/>
                </a:lnTo>
                <a:lnTo>
                  <a:pt x="158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7" name="Freeform 26">
            <a:extLst>
              <a:ext uri="{FF2B5EF4-FFF2-40B4-BE49-F238E27FC236}">
                <a16:creationId xmlns:a16="http://schemas.microsoft.com/office/drawing/2014/main" id="{D33B2B05-A4E7-4297-83D6-6EDD3CB898C0}"/>
              </a:ext>
            </a:extLst>
          </xdr:cNvPr>
          <xdr:cNvSpPr>
            <a:spLocks/>
          </xdr:cNvSpPr>
        </xdr:nvSpPr>
        <xdr:spPr bwMode="auto">
          <a:xfrm>
            <a:off x="879" y="159"/>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365" y="0"/>
                </a:moveTo>
                <a:lnTo>
                  <a:pt x="0" y="551"/>
                </a:lnTo>
                <a:lnTo>
                  <a:pt x="195" y="746"/>
                </a:lnTo>
                <a:lnTo>
                  <a:pt x="365" y="0"/>
                </a:lnTo>
                <a:close/>
              </a:path>
            </a:pathLst>
          </a:custGeom>
          <a:solidFill>
            <a:srgbClr val="000000"/>
          </a:solidFill>
          <a:ln w="12700">
            <a:solidFill>
              <a:srgbClr val="000000"/>
            </a:solidFill>
            <a:round/>
            <a:headEnd/>
            <a:tailEnd/>
          </a:ln>
        </xdr:spPr>
      </xdr:sp>
      <xdr:sp macro="" textlink="">
        <xdr:nvSpPr>
          <xdr:cNvPr id="128" name="Freeform 27">
            <a:extLst>
              <a:ext uri="{FF2B5EF4-FFF2-40B4-BE49-F238E27FC236}">
                <a16:creationId xmlns:a16="http://schemas.microsoft.com/office/drawing/2014/main" id="{AF5D0450-6F39-42A9-8DD4-A8A9165798B6}"/>
              </a:ext>
            </a:extLst>
          </xdr:cNvPr>
          <xdr:cNvSpPr>
            <a:spLocks/>
          </xdr:cNvSpPr>
        </xdr:nvSpPr>
        <xdr:spPr bwMode="auto">
          <a:xfrm>
            <a:off x="879" y="159"/>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365" y="0"/>
                </a:moveTo>
                <a:lnTo>
                  <a:pt x="0" y="551"/>
                </a:lnTo>
                <a:lnTo>
                  <a:pt x="195" y="746"/>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9" name="Freeform 28">
            <a:extLst>
              <a:ext uri="{FF2B5EF4-FFF2-40B4-BE49-F238E27FC236}">
                <a16:creationId xmlns:a16="http://schemas.microsoft.com/office/drawing/2014/main" id="{EC68C76D-B821-406B-959A-8E76F7927AB3}"/>
              </a:ext>
            </a:extLst>
          </xdr:cNvPr>
          <xdr:cNvSpPr>
            <a:spLocks/>
          </xdr:cNvSpPr>
        </xdr:nvSpPr>
        <xdr:spPr bwMode="auto">
          <a:xfrm>
            <a:off x="887" y="159"/>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0" y="0"/>
                </a:moveTo>
                <a:lnTo>
                  <a:pt x="172" y="746"/>
                </a:lnTo>
                <a:lnTo>
                  <a:pt x="365" y="551"/>
                </a:lnTo>
                <a:lnTo>
                  <a:pt x="0" y="0"/>
                </a:lnTo>
                <a:close/>
              </a:path>
            </a:pathLst>
          </a:custGeom>
          <a:solidFill>
            <a:srgbClr val="000000"/>
          </a:solidFill>
          <a:ln w="12700">
            <a:solidFill>
              <a:srgbClr val="000000"/>
            </a:solidFill>
            <a:round/>
            <a:headEnd/>
            <a:tailEnd/>
          </a:ln>
        </xdr:spPr>
      </xdr:sp>
      <xdr:sp macro="" textlink="">
        <xdr:nvSpPr>
          <xdr:cNvPr id="130" name="Freeform 29">
            <a:extLst>
              <a:ext uri="{FF2B5EF4-FFF2-40B4-BE49-F238E27FC236}">
                <a16:creationId xmlns:a16="http://schemas.microsoft.com/office/drawing/2014/main" id="{6804B648-2F92-4D2D-B2F8-6FD266701CF6}"/>
              </a:ext>
            </a:extLst>
          </xdr:cNvPr>
          <xdr:cNvSpPr>
            <a:spLocks/>
          </xdr:cNvSpPr>
        </xdr:nvSpPr>
        <xdr:spPr bwMode="auto">
          <a:xfrm>
            <a:off x="887" y="159"/>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0" y="0"/>
                </a:moveTo>
                <a:lnTo>
                  <a:pt x="172" y="746"/>
                </a:lnTo>
                <a:lnTo>
                  <a:pt x="365" y="551"/>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1" name="Freeform 30">
            <a:extLst>
              <a:ext uri="{FF2B5EF4-FFF2-40B4-BE49-F238E27FC236}">
                <a16:creationId xmlns:a16="http://schemas.microsoft.com/office/drawing/2014/main" id="{E91BB832-8877-45D4-95E5-156DD98A8BEC}"/>
              </a:ext>
            </a:extLst>
          </xdr:cNvPr>
          <xdr:cNvSpPr>
            <a:spLocks/>
          </xdr:cNvSpPr>
        </xdr:nvSpPr>
        <xdr:spPr bwMode="auto">
          <a:xfrm>
            <a:off x="879" y="138"/>
            <a:ext cx="8"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365" y="0"/>
                </a:moveTo>
                <a:lnTo>
                  <a:pt x="0" y="1590"/>
                </a:lnTo>
                <a:lnTo>
                  <a:pt x="365" y="1039"/>
                </a:lnTo>
                <a:lnTo>
                  <a:pt x="365" y="0"/>
                </a:lnTo>
                <a:close/>
              </a:path>
            </a:pathLst>
          </a:custGeom>
          <a:solidFill>
            <a:srgbClr val="000000"/>
          </a:solidFill>
          <a:ln w="12700">
            <a:solidFill>
              <a:srgbClr val="000000"/>
            </a:solidFill>
            <a:round/>
            <a:headEnd/>
            <a:tailEnd/>
          </a:ln>
        </xdr:spPr>
      </xdr:sp>
      <xdr:sp macro="" textlink="">
        <xdr:nvSpPr>
          <xdr:cNvPr id="132" name="Freeform 31">
            <a:extLst>
              <a:ext uri="{FF2B5EF4-FFF2-40B4-BE49-F238E27FC236}">
                <a16:creationId xmlns:a16="http://schemas.microsoft.com/office/drawing/2014/main" id="{394A3FC7-44C7-4691-9CEF-6F5F99D8DAC4}"/>
              </a:ext>
            </a:extLst>
          </xdr:cNvPr>
          <xdr:cNvSpPr>
            <a:spLocks/>
          </xdr:cNvSpPr>
        </xdr:nvSpPr>
        <xdr:spPr bwMode="auto">
          <a:xfrm>
            <a:off x="879" y="138"/>
            <a:ext cx="8"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365" y="0"/>
                </a:moveTo>
                <a:lnTo>
                  <a:pt x="0" y="1590"/>
                </a:lnTo>
                <a:lnTo>
                  <a:pt x="365" y="1039"/>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3" name="Freeform 32">
            <a:extLst>
              <a:ext uri="{FF2B5EF4-FFF2-40B4-BE49-F238E27FC236}">
                <a16:creationId xmlns:a16="http://schemas.microsoft.com/office/drawing/2014/main" id="{152E5471-97C1-48EA-800F-7FF28DD3C3B7}"/>
              </a:ext>
            </a:extLst>
          </xdr:cNvPr>
          <xdr:cNvSpPr>
            <a:spLocks/>
          </xdr:cNvSpPr>
        </xdr:nvSpPr>
        <xdr:spPr bwMode="auto">
          <a:xfrm>
            <a:off x="887" y="138"/>
            <a:ext cx="7"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0" y="0"/>
                </a:moveTo>
                <a:lnTo>
                  <a:pt x="0" y="1039"/>
                </a:lnTo>
                <a:lnTo>
                  <a:pt x="365" y="1590"/>
                </a:lnTo>
                <a:lnTo>
                  <a:pt x="0" y="0"/>
                </a:lnTo>
                <a:close/>
              </a:path>
            </a:pathLst>
          </a:custGeom>
          <a:solidFill>
            <a:srgbClr val="000000"/>
          </a:solidFill>
          <a:ln w="12700">
            <a:solidFill>
              <a:srgbClr val="000000"/>
            </a:solidFill>
            <a:round/>
            <a:headEnd/>
            <a:tailEnd/>
          </a:ln>
        </xdr:spPr>
      </xdr:sp>
      <xdr:sp macro="" textlink="">
        <xdr:nvSpPr>
          <xdr:cNvPr id="134" name="Freeform 33">
            <a:extLst>
              <a:ext uri="{FF2B5EF4-FFF2-40B4-BE49-F238E27FC236}">
                <a16:creationId xmlns:a16="http://schemas.microsoft.com/office/drawing/2014/main" id="{65B8CDBA-7DA2-4A64-8819-D21A9999C6E9}"/>
              </a:ext>
            </a:extLst>
          </xdr:cNvPr>
          <xdr:cNvSpPr>
            <a:spLocks/>
          </xdr:cNvSpPr>
        </xdr:nvSpPr>
        <xdr:spPr bwMode="auto">
          <a:xfrm>
            <a:off x="887" y="138"/>
            <a:ext cx="7"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0" y="0"/>
                </a:moveTo>
                <a:lnTo>
                  <a:pt x="0" y="1039"/>
                </a:lnTo>
                <a:lnTo>
                  <a:pt x="365" y="159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5" name="Line 34">
            <a:extLst>
              <a:ext uri="{FF2B5EF4-FFF2-40B4-BE49-F238E27FC236}">
                <a16:creationId xmlns:a16="http://schemas.microsoft.com/office/drawing/2014/main" id="{2131F78A-177E-483F-A0B3-BD755C242C2D}"/>
              </a:ext>
            </a:extLst>
          </xdr:cNvPr>
          <xdr:cNvSpPr>
            <a:spLocks noChangeShapeType="1"/>
          </xdr:cNvSpPr>
        </xdr:nvSpPr>
        <xdr:spPr bwMode="auto">
          <a:xfrm flipH="1" flipV="1">
            <a:off x="887" y="138"/>
            <a:ext cx="7" cy="3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6" name="Line 35">
            <a:extLst>
              <a:ext uri="{FF2B5EF4-FFF2-40B4-BE49-F238E27FC236}">
                <a16:creationId xmlns:a16="http://schemas.microsoft.com/office/drawing/2014/main" id="{9930F33F-6369-4479-B576-154A779F1FED}"/>
              </a:ext>
            </a:extLst>
          </xdr:cNvPr>
          <xdr:cNvSpPr>
            <a:spLocks noChangeShapeType="1"/>
          </xdr:cNvSpPr>
        </xdr:nvSpPr>
        <xdr:spPr bwMode="auto">
          <a:xfrm flipH="1">
            <a:off x="879" y="138"/>
            <a:ext cx="8" cy="3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7" name="Line 36">
            <a:extLst>
              <a:ext uri="{FF2B5EF4-FFF2-40B4-BE49-F238E27FC236}">
                <a16:creationId xmlns:a16="http://schemas.microsoft.com/office/drawing/2014/main" id="{5717039F-1155-42F9-B317-37E542F59AFB}"/>
              </a:ext>
            </a:extLst>
          </xdr:cNvPr>
          <xdr:cNvSpPr>
            <a:spLocks noChangeShapeType="1"/>
          </xdr:cNvSpPr>
        </xdr:nvSpPr>
        <xdr:spPr bwMode="auto">
          <a:xfrm flipH="1">
            <a:off x="847" y="170"/>
            <a:ext cx="32" cy="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8" name="Line 37">
            <a:extLst>
              <a:ext uri="{FF2B5EF4-FFF2-40B4-BE49-F238E27FC236}">
                <a16:creationId xmlns:a16="http://schemas.microsoft.com/office/drawing/2014/main" id="{AD9AFB9C-C117-4480-AFF6-EA4090BE231E}"/>
              </a:ext>
            </a:extLst>
          </xdr:cNvPr>
          <xdr:cNvSpPr>
            <a:spLocks noChangeShapeType="1"/>
          </xdr:cNvSpPr>
        </xdr:nvSpPr>
        <xdr:spPr bwMode="auto">
          <a:xfrm>
            <a:off x="847" y="178"/>
            <a:ext cx="32" cy="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9" name="Line 38">
            <a:extLst>
              <a:ext uri="{FF2B5EF4-FFF2-40B4-BE49-F238E27FC236}">
                <a16:creationId xmlns:a16="http://schemas.microsoft.com/office/drawing/2014/main" id="{85E3538C-9BD6-4627-A008-F2325146A7BC}"/>
              </a:ext>
            </a:extLst>
          </xdr:cNvPr>
          <xdr:cNvSpPr>
            <a:spLocks noChangeShapeType="1"/>
          </xdr:cNvSpPr>
        </xdr:nvSpPr>
        <xdr:spPr bwMode="auto">
          <a:xfrm>
            <a:off x="879" y="185"/>
            <a:ext cx="8" cy="3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0" name="Line 39">
            <a:extLst>
              <a:ext uri="{FF2B5EF4-FFF2-40B4-BE49-F238E27FC236}">
                <a16:creationId xmlns:a16="http://schemas.microsoft.com/office/drawing/2014/main" id="{12D942A7-AAC9-40EF-A48F-4384B66AD5EF}"/>
              </a:ext>
            </a:extLst>
          </xdr:cNvPr>
          <xdr:cNvSpPr>
            <a:spLocks noChangeShapeType="1"/>
          </xdr:cNvSpPr>
        </xdr:nvSpPr>
        <xdr:spPr bwMode="auto">
          <a:xfrm flipV="1">
            <a:off x="887" y="185"/>
            <a:ext cx="7" cy="3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1" name="Line 40">
            <a:extLst>
              <a:ext uri="{FF2B5EF4-FFF2-40B4-BE49-F238E27FC236}">
                <a16:creationId xmlns:a16="http://schemas.microsoft.com/office/drawing/2014/main" id="{44195D59-8AC1-45CA-9531-0A20BFE600B3}"/>
              </a:ext>
            </a:extLst>
          </xdr:cNvPr>
          <xdr:cNvSpPr>
            <a:spLocks noChangeShapeType="1"/>
          </xdr:cNvSpPr>
        </xdr:nvSpPr>
        <xdr:spPr bwMode="auto">
          <a:xfrm flipV="1">
            <a:off x="894" y="178"/>
            <a:ext cx="33" cy="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2" name="Line 41">
            <a:extLst>
              <a:ext uri="{FF2B5EF4-FFF2-40B4-BE49-F238E27FC236}">
                <a16:creationId xmlns:a16="http://schemas.microsoft.com/office/drawing/2014/main" id="{D3C85B37-20DE-422B-8A61-847E87303F0C}"/>
              </a:ext>
            </a:extLst>
          </xdr:cNvPr>
          <xdr:cNvSpPr>
            <a:spLocks noChangeShapeType="1"/>
          </xdr:cNvSpPr>
        </xdr:nvSpPr>
        <xdr:spPr bwMode="auto">
          <a:xfrm flipH="1" flipV="1">
            <a:off x="894" y="170"/>
            <a:ext cx="33" cy="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3" name="Line 42">
            <a:extLst>
              <a:ext uri="{FF2B5EF4-FFF2-40B4-BE49-F238E27FC236}">
                <a16:creationId xmlns:a16="http://schemas.microsoft.com/office/drawing/2014/main" id="{80FCDD02-B5BB-45BA-99CF-468B52A18006}"/>
              </a:ext>
            </a:extLst>
          </xdr:cNvPr>
          <xdr:cNvSpPr>
            <a:spLocks noChangeShapeType="1"/>
          </xdr:cNvSpPr>
        </xdr:nvSpPr>
        <xdr:spPr bwMode="auto">
          <a:xfrm flipH="1" flipV="1">
            <a:off x="887" y="159"/>
            <a:ext cx="3"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4" name="Line 43">
            <a:extLst>
              <a:ext uri="{FF2B5EF4-FFF2-40B4-BE49-F238E27FC236}">
                <a16:creationId xmlns:a16="http://schemas.microsoft.com/office/drawing/2014/main" id="{9A0345E5-8A12-4BDD-AAD2-F560BC2890E7}"/>
              </a:ext>
            </a:extLst>
          </xdr:cNvPr>
          <xdr:cNvSpPr>
            <a:spLocks noChangeShapeType="1"/>
          </xdr:cNvSpPr>
        </xdr:nvSpPr>
        <xdr:spPr bwMode="auto">
          <a:xfrm flipH="1">
            <a:off x="883" y="159"/>
            <a:ext cx="4"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5" name="Line 44">
            <a:extLst>
              <a:ext uri="{FF2B5EF4-FFF2-40B4-BE49-F238E27FC236}">
                <a16:creationId xmlns:a16="http://schemas.microsoft.com/office/drawing/2014/main" id="{B2026E29-25C0-4A82-8222-4CF7D2EDA666}"/>
              </a:ext>
            </a:extLst>
          </xdr:cNvPr>
          <xdr:cNvSpPr>
            <a:spLocks noChangeShapeType="1"/>
          </xdr:cNvSpPr>
        </xdr:nvSpPr>
        <xdr:spPr bwMode="auto">
          <a:xfrm flipH="1">
            <a:off x="868" y="174"/>
            <a:ext cx="15" cy="4"/>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6" name="Line 45">
            <a:extLst>
              <a:ext uri="{FF2B5EF4-FFF2-40B4-BE49-F238E27FC236}">
                <a16:creationId xmlns:a16="http://schemas.microsoft.com/office/drawing/2014/main" id="{57A2E4A3-6EBE-42EE-8864-4387ACFA3B02}"/>
              </a:ext>
            </a:extLst>
          </xdr:cNvPr>
          <xdr:cNvSpPr>
            <a:spLocks noChangeShapeType="1"/>
          </xdr:cNvSpPr>
        </xdr:nvSpPr>
        <xdr:spPr bwMode="auto">
          <a:xfrm>
            <a:off x="868" y="178"/>
            <a:ext cx="15" cy="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7" name="Line 46">
            <a:extLst>
              <a:ext uri="{FF2B5EF4-FFF2-40B4-BE49-F238E27FC236}">
                <a16:creationId xmlns:a16="http://schemas.microsoft.com/office/drawing/2014/main" id="{74FCC064-3706-4559-9C70-06F7323A12CB}"/>
              </a:ext>
            </a:extLst>
          </xdr:cNvPr>
          <xdr:cNvSpPr>
            <a:spLocks noChangeShapeType="1"/>
          </xdr:cNvSpPr>
        </xdr:nvSpPr>
        <xdr:spPr bwMode="auto">
          <a:xfrm>
            <a:off x="883" y="181"/>
            <a:ext cx="4"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8" name="Line 47">
            <a:extLst>
              <a:ext uri="{FF2B5EF4-FFF2-40B4-BE49-F238E27FC236}">
                <a16:creationId xmlns:a16="http://schemas.microsoft.com/office/drawing/2014/main" id="{F809B88F-DBAF-4379-B4C1-20667E04654D}"/>
              </a:ext>
            </a:extLst>
          </xdr:cNvPr>
          <xdr:cNvSpPr>
            <a:spLocks noChangeShapeType="1"/>
          </xdr:cNvSpPr>
        </xdr:nvSpPr>
        <xdr:spPr bwMode="auto">
          <a:xfrm flipV="1">
            <a:off x="887" y="181"/>
            <a:ext cx="3"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9" name="Line 48">
            <a:extLst>
              <a:ext uri="{FF2B5EF4-FFF2-40B4-BE49-F238E27FC236}">
                <a16:creationId xmlns:a16="http://schemas.microsoft.com/office/drawing/2014/main" id="{372C0022-81FC-49AF-8513-7ED678976D5D}"/>
              </a:ext>
            </a:extLst>
          </xdr:cNvPr>
          <xdr:cNvSpPr>
            <a:spLocks noChangeShapeType="1"/>
          </xdr:cNvSpPr>
        </xdr:nvSpPr>
        <xdr:spPr bwMode="auto">
          <a:xfrm flipV="1">
            <a:off x="890" y="178"/>
            <a:ext cx="16" cy="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0" name="Line 49">
            <a:extLst>
              <a:ext uri="{FF2B5EF4-FFF2-40B4-BE49-F238E27FC236}">
                <a16:creationId xmlns:a16="http://schemas.microsoft.com/office/drawing/2014/main" id="{A1CBFB2A-FF09-4A7D-8406-86A8B251A00C}"/>
              </a:ext>
            </a:extLst>
          </xdr:cNvPr>
          <xdr:cNvSpPr>
            <a:spLocks noChangeShapeType="1"/>
          </xdr:cNvSpPr>
        </xdr:nvSpPr>
        <xdr:spPr bwMode="auto">
          <a:xfrm flipH="1" flipV="1">
            <a:off x="890" y="174"/>
            <a:ext cx="16" cy="4"/>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1" name="Oval 50">
            <a:extLst>
              <a:ext uri="{FF2B5EF4-FFF2-40B4-BE49-F238E27FC236}">
                <a16:creationId xmlns:a16="http://schemas.microsoft.com/office/drawing/2014/main" id="{E5D149F0-4170-4EBE-B313-2468400D5C5A}"/>
              </a:ext>
            </a:extLst>
          </xdr:cNvPr>
          <xdr:cNvSpPr>
            <a:spLocks noChangeArrowheads="1"/>
          </xdr:cNvSpPr>
        </xdr:nvSpPr>
        <xdr:spPr bwMode="auto">
          <a:xfrm>
            <a:off x="846" y="138"/>
            <a:ext cx="81" cy="81"/>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85725</xdr:colOff>
      <xdr:row>33</xdr:row>
      <xdr:rowOff>161925</xdr:rowOff>
    </xdr:from>
    <xdr:to>
      <xdr:col>2</xdr:col>
      <xdr:colOff>123825</xdr:colOff>
      <xdr:row>34</xdr:row>
      <xdr:rowOff>217170</xdr:rowOff>
    </xdr:to>
    <xdr:grpSp>
      <xdr:nvGrpSpPr>
        <xdr:cNvPr id="152" name="Group 1">
          <a:extLst>
            <a:ext uri="{FF2B5EF4-FFF2-40B4-BE49-F238E27FC236}">
              <a16:creationId xmlns:a16="http://schemas.microsoft.com/office/drawing/2014/main" id="{59999DF7-BE5B-404F-8571-A1DFB6E81A2D}"/>
            </a:ext>
          </a:extLst>
        </xdr:cNvPr>
        <xdr:cNvGrpSpPr>
          <a:grpSpLocks/>
        </xdr:cNvGrpSpPr>
      </xdr:nvGrpSpPr>
      <xdr:grpSpPr bwMode="auto">
        <a:xfrm>
          <a:off x="242607" y="10504954"/>
          <a:ext cx="497542" cy="436245"/>
          <a:chOff x="846" y="138"/>
          <a:chExt cx="81" cy="81"/>
        </a:xfrm>
      </xdr:grpSpPr>
      <xdr:sp macro="" textlink="">
        <xdr:nvSpPr>
          <xdr:cNvPr id="153" name="Freeform 2">
            <a:extLst>
              <a:ext uri="{FF2B5EF4-FFF2-40B4-BE49-F238E27FC236}">
                <a16:creationId xmlns:a16="http://schemas.microsoft.com/office/drawing/2014/main" id="{01C513D2-9518-4146-BB13-6908C9816C9D}"/>
              </a:ext>
            </a:extLst>
          </xdr:cNvPr>
          <xdr:cNvSpPr>
            <a:spLocks/>
          </xdr:cNvSpPr>
        </xdr:nvSpPr>
        <xdr:spPr bwMode="auto">
          <a:xfrm>
            <a:off x="887" y="185"/>
            <a:ext cx="7"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365" y="0"/>
                </a:moveTo>
                <a:lnTo>
                  <a:pt x="0" y="550"/>
                </a:lnTo>
                <a:lnTo>
                  <a:pt x="0" y="1591"/>
                </a:lnTo>
                <a:lnTo>
                  <a:pt x="365" y="0"/>
                </a:lnTo>
                <a:close/>
              </a:path>
            </a:pathLst>
          </a:custGeom>
          <a:solidFill>
            <a:srgbClr val="000000"/>
          </a:solidFill>
          <a:ln w="12700">
            <a:solidFill>
              <a:srgbClr val="000000"/>
            </a:solidFill>
            <a:round/>
            <a:headEnd/>
            <a:tailEnd/>
          </a:ln>
        </xdr:spPr>
      </xdr:sp>
      <xdr:sp macro="" textlink="">
        <xdr:nvSpPr>
          <xdr:cNvPr id="154" name="Freeform 3">
            <a:extLst>
              <a:ext uri="{FF2B5EF4-FFF2-40B4-BE49-F238E27FC236}">
                <a16:creationId xmlns:a16="http://schemas.microsoft.com/office/drawing/2014/main" id="{A5C37230-3F8E-4EFD-AB4E-351BF032E5C4}"/>
              </a:ext>
            </a:extLst>
          </xdr:cNvPr>
          <xdr:cNvSpPr>
            <a:spLocks/>
          </xdr:cNvSpPr>
        </xdr:nvSpPr>
        <xdr:spPr bwMode="auto">
          <a:xfrm>
            <a:off x="887" y="185"/>
            <a:ext cx="7"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365" y="0"/>
                </a:moveTo>
                <a:lnTo>
                  <a:pt x="0" y="550"/>
                </a:lnTo>
                <a:lnTo>
                  <a:pt x="0" y="1591"/>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5" name="Freeform 4">
            <a:extLst>
              <a:ext uri="{FF2B5EF4-FFF2-40B4-BE49-F238E27FC236}">
                <a16:creationId xmlns:a16="http://schemas.microsoft.com/office/drawing/2014/main" id="{0516F0F4-2075-458F-89B2-C65613DC3BD8}"/>
              </a:ext>
            </a:extLst>
          </xdr:cNvPr>
          <xdr:cNvSpPr>
            <a:spLocks/>
          </xdr:cNvSpPr>
        </xdr:nvSpPr>
        <xdr:spPr bwMode="auto">
          <a:xfrm>
            <a:off x="879" y="185"/>
            <a:ext cx="8"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0" y="0"/>
                </a:moveTo>
                <a:lnTo>
                  <a:pt x="365" y="1591"/>
                </a:lnTo>
                <a:lnTo>
                  <a:pt x="365" y="550"/>
                </a:lnTo>
                <a:lnTo>
                  <a:pt x="0" y="0"/>
                </a:lnTo>
                <a:close/>
              </a:path>
            </a:pathLst>
          </a:custGeom>
          <a:solidFill>
            <a:srgbClr val="000000"/>
          </a:solidFill>
          <a:ln w="12700">
            <a:solidFill>
              <a:srgbClr val="000000"/>
            </a:solidFill>
            <a:round/>
            <a:headEnd/>
            <a:tailEnd/>
          </a:ln>
        </xdr:spPr>
      </xdr:sp>
      <xdr:sp macro="" textlink="">
        <xdr:nvSpPr>
          <xdr:cNvPr id="156" name="Freeform 5">
            <a:extLst>
              <a:ext uri="{FF2B5EF4-FFF2-40B4-BE49-F238E27FC236}">
                <a16:creationId xmlns:a16="http://schemas.microsoft.com/office/drawing/2014/main" id="{0262D817-70D6-480E-B6E7-E80F1A8E0DEF}"/>
              </a:ext>
            </a:extLst>
          </xdr:cNvPr>
          <xdr:cNvSpPr>
            <a:spLocks/>
          </xdr:cNvSpPr>
        </xdr:nvSpPr>
        <xdr:spPr bwMode="auto">
          <a:xfrm>
            <a:off x="879" y="185"/>
            <a:ext cx="8"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0" y="0"/>
                </a:moveTo>
                <a:lnTo>
                  <a:pt x="365" y="1591"/>
                </a:lnTo>
                <a:lnTo>
                  <a:pt x="365" y="55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7" name="Freeform 6">
            <a:extLst>
              <a:ext uri="{FF2B5EF4-FFF2-40B4-BE49-F238E27FC236}">
                <a16:creationId xmlns:a16="http://schemas.microsoft.com/office/drawing/2014/main" id="{23A40C84-C07F-468A-B777-BA7C0F530DFD}"/>
              </a:ext>
            </a:extLst>
          </xdr:cNvPr>
          <xdr:cNvSpPr>
            <a:spLocks/>
          </xdr:cNvSpPr>
        </xdr:nvSpPr>
        <xdr:spPr bwMode="auto">
          <a:xfrm>
            <a:off x="887" y="181"/>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72" y="0"/>
                </a:moveTo>
                <a:lnTo>
                  <a:pt x="0" y="746"/>
                </a:lnTo>
                <a:lnTo>
                  <a:pt x="365" y="196"/>
                </a:lnTo>
                <a:lnTo>
                  <a:pt x="172" y="0"/>
                </a:lnTo>
                <a:close/>
              </a:path>
            </a:pathLst>
          </a:custGeom>
          <a:solidFill>
            <a:srgbClr val="000000"/>
          </a:solidFill>
          <a:ln w="12700">
            <a:solidFill>
              <a:srgbClr val="000000"/>
            </a:solidFill>
            <a:round/>
            <a:headEnd/>
            <a:tailEnd/>
          </a:ln>
        </xdr:spPr>
      </xdr:sp>
      <xdr:sp macro="" textlink="">
        <xdr:nvSpPr>
          <xdr:cNvPr id="158" name="Freeform 7">
            <a:extLst>
              <a:ext uri="{FF2B5EF4-FFF2-40B4-BE49-F238E27FC236}">
                <a16:creationId xmlns:a16="http://schemas.microsoft.com/office/drawing/2014/main" id="{BC4B3C02-A7F4-470A-8692-BB9B22EE1C24}"/>
              </a:ext>
            </a:extLst>
          </xdr:cNvPr>
          <xdr:cNvSpPr>
            <a:spLocks/>
          </xdr:cNvSpPr>
        </xdr:nvSpPr>
        <xdr:spPr bwMode="auto">
          <a:xfrm>
            <a:off x="887" y="181"/>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72" y="0"/>
                </a:moveTo>
                <a:lnTo>
                  <a:pt x="0" y="746"/>
                </a:lnTo>
                <a:lnTo>
                  <a:pt x="365" y="196"/>
                </a:lnTo>
                <a:lnTo>
                  <a:pt x="17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Freeform 8">
            <a:extLst>
              <a:ext uri="{FF2B5EF4-FFF2-40B4-BE49-F238E27FC236}">
                <a16:creationId xmlns:a16="http://schemas.microsoft.com/office/drawing/2014/main" id="{783131B7-6485-4DA0-932A-4F2695D5374B}"/>
              </a:ext>
            </a:extLst>
          </xdr:cNvPr>
          <xdr:cNvSpPr>
            <a:spLocks/>
          </xdr:cNvSpPr>
        </xdr:nvSpPr>
        <xdr:spPr bwMode="auto">
          <a:xfrm>
            <a:off x="879" y="181"/>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95" y="0"/>
                </a:moveTo>
                <a:lnTo>
                  <a:pt x="0" y="196"/>
                </a:lnTo>
                <a:lnTo>
                  <a:pt x="365" y="746"/>
                </a:lnTo>
                <a:lnTo>
                  <a:pt x="195" y="0"/>
                </a:lnTo>
                <a:close/>
              </a:path>
            </a:pathLst>
          </a:custGeom>
          <a:solidFill>
            <a:srgbClr val="000000"/>
          </a:solidFill>
          <a:ln w="12700">
            <a:solidFill>
              <a:srgbClr val="000000"/>
            </a:solidFill>
            <a:round/>
            <a:headEnd/>
            <a:tailEnd/>
          </a:ln>
        </xdr:spPr>
      </xdr:sp>
      <xdr:sp macro="" textlink="">
        <xdr:nvSpPr>
          <xdr:cNvPr id="160" name="Freeform 9">
            <a:extLst>
              <a:ext uri="{FF2B5EF4-FFF2-40B4-BE49-F238E27FC236}">
                <a16:creationId xmlns:a16="http://schemas.microsoft.com/office/drawing/2014/main" id="{6E2A3B50-B5BA-4100-BA1B-19E60B8109BD}"/>
              </a:ext>
            </a:extLst>
          </xdr:cNvPr>
          <xdr:cNvSpPr>
            <a:spLocks/>
          </xdr:cNvSpPr>
        </xdr:nvSpPr>
        <xdr:spPr bwMode="auto">
          <a:xfrm>
            <a:off x="879" y="181"/>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95" y="0"/>
                </a:moveTo>
                <a:lnTo>
                  <a:pt x="0" y="196"/>
                </a:lnTo>
                <a:lnTo>
                  <a:pt x="365" y="746"/>
                </a:lnTo>
                <a:lnTo>
                  <a:pt x="19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Freeform 10">
            <a:extLst>
              <a:ext uri="{FF2B5EF4-FFF2-40B4-BE49-F238E27FC236}">
                <a16:creationId xmlns:a16="http://schemas.microsoft.com/office/drawing/2014/main" id="{BF0DA7C4-A5D5-4693-AB34-18E3CCDA4DD3}"/>
              </a:ext>
            </a:extLst>
          </xdr:cNvPr>
          <xdr:cNvSpPr>
            <a:spLocks/>
          </xdr:cNvSpPr>
        </xdr:nvSpPr>
        <xdr:spPr bwMode="auto">
          <a:xfrm>
            <a:off x="890" y="178"/>
            <a:ext cx="37" cy="7"/>
          </a:xfrm>
          <a:custGeom>
            <a:avLst/>
            <a:gdLst>
              <a:gd name="T0" fmla="*/ 0 w 1776"/>
              <a:gd name="T1" fmla="*/ 0 h 368"/>
              <a:gd name="T2" fmla="*/ 0 w 1776"/>
              <a:gd name="T3" fmla="*/ 0 h 368"/>
              <a:gd name="T4" fmla="*/ 0 w 1776"/>
              <a:gd name="T5" fmla="*/ 0 h 368"/>
              <a:gd name="T6" fmla="*/ 0 w 1776"/>
              <a:gd name="T7" fmla="*/ 0 h 368"/>
              <a:gd name="T8" fmla="*/ 0 60000 65536"/>
              <a:gd name="T9" fmla="*/ 0 60000 65536"/>
              <a:gd name="T10" fmla="*/ 0 60000 65536"/>
              <a:gd name="T11" fmla="*/ 0 60000 65536"/>
              <a:gd name="T12" fmla="*/ 0 w 1776"/>
              <a:gd name="T13" fmla="*/ 0 h 368"/>
              <a:gd name="T14" fmla="*/ 1776 w 1776"/>
              <a:gd name="T15" fmla="*/ 368 h 368"/>
            </a:gdLst>
            <a:ahLst/>
            <a:cxnLst>
              <a:cxn ang="T8">
                <a:pos x="T0" y="T1"/>
              </a:cxn>
              <a:cxn ang="T9">
                <a:pos x="T2" y="T3"/>
              </a:cxn>
              <a:cxn ang="T10">
                <a:pos x="T4" y="T5"/>
              </a:cxn>
              <a:cxn ang="T11">
                <a:pos x="T6" y="T7"/>
              </a:cxn>
            </a:cxnLst>
            <a:rect l="T12" t="T13" r="T14" b="T15"/>
            <a:pathLst>
              <a:path w="1776" h="368">
                <a:moveTo>
                  <a:pt x="1776" y="0"/>
                </a:moveTo>
                <a:lnTo>
                  <a:pt x="0" y="172"/>
                </a:lnTo>
                <a:lnTo>
                  <a:pt x="193" y="368"/>
                </a:lnTo>
                <a:lnTo>
                  <a:pt x="1776" y="0"/>
                </a:lnTo>
                <a:close/>
              </a:path>
            </a:pathLst>
          </a:custGeom>
          <a:solidFill>
            <a:srgbClr val="000000"/>
          </a:solidFill>
          <a:ln w="12700">
            <a:solidFill>
              <a:srgbClr val="000000"/>
            </a:solidFill>
            <a:round/>
            <a:headEnd/>
            <a:tailEnd/>
          </a:ln>
        </xdr:spPr>
      </xdr:sp>
      <xdr:sp macro="" textlink="">
        <xdr:nvSpPr>
          <xdr:cNvPr id="162" name="Freeform 11">
            <a:extLst>
              <a:ext uri="{FF2B5EF4-FFF2-40B4-BE49-F238E27FC236}">
                <a16:creationId xmlns:a16="http://schemas.microsoft.com/office/drawing/2014/main" id="{9C931748-7E0A-4A47-8B53-A2C4FFB6B110}"/>
              </a:ext>
            </a:extLst>
          </xdr:cNvPr>
          <xdr:cNvSpPr>
            <a:spLocks/>
          </xdr:cNvSpPr>
        </xdr:nvSpPr>
        <xdr:spPr bwMode="auto">
          <a:xfrm>
            <a:off x="890" y="178"/>
            <a:ext cx="37" cy="7"/>
          </a:xfrm>
          <a:custGeom>
            <a:avLst/>
            <a:gdLst>
              <a:gd name="T0" fmla="*/ 0 w 1776"/>
              <a:gd name="T1" fmla="*/ 0 h 368"/>
              <a:gd name="T2" fmla="*/ 0 w 1776"/>
              <a:gd name="T3" fmla="*/ 0 h 368"/>
              <a:gd name="T4" fmla="*/ 0 w 1776"/>
              <a:gd name="T5" fmla="*/ 0 h 368"/>
              <a:gd name="T6" fmla="*/ 0 w 1776"/>
              <a:gd name="T7" fmla="*/ 0 h 368"/>
              <a:gd name="T8" fmla="*/ 0 60000 65536"/>
              <a:gd name="T9" fmla="*/ 0 60000 65536"/>
              <a:gd name="T10" fmla="*/ 0 60000 65536"/>
              <a:gd name="T11" fmla="*/ 0 60000 65536"/>
              <a:gd name="T12" fmla="*/ 0 w 1776"/>
              <a:gd name="T13" fmla="*/ 0 h 368"/>
              <a:gd name="T14" fmla="*/ 1776 w 1776"/>
              <a:gd name="T15" fmla="*/ 368 h 368"/>
            </a:gdLst>
            <a:ahLst/>
            <a:cxnLst>
              <a:cxn ang="T8">
                <a:pos x="T0" y="T1"/>
              </a:cxn>
              <a:cxn ang="T9">
                <a:pos x="T2" y="T3"/>
              </a:cxn>
              <a:cxn ang="T10">
                <a:pos x="T4" y="T5"/>
              </a:cxn>
              <a:cxn ang="T11">
                <a:pos x="T6" y="T7"/>
              </a:cxn>
            </a:cxnLst>
            <a:rect l="T12" t="T13" r="T14" b="T15"/>
            <a:pathLst>
              <a:path w="1776" h="368">
                <a:moveTo>
                  <a:pt x="1776" y="0"/>
                </a:moveTo>
                <a:lnTo>
                  <a:pt x="0" y="172"/>
                </a:lnTo>
                <a:lnTo>
                  <a:pt x="193" y="368"/>
                </a:lnTo>
                <a:lnTo>
                  <a:pt x="1776"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3" name="Freeform 12">
            <a:extLst>
              <a:ext uri="{FF2B5EF4-FFF2-40B4-BE49-F238E27FC236}">
                <a16:creationId xmlns:a16="http://schemas.microsoft.com/office/drawing/2014/main" id="{FD3C7C86-B541-4172-BF48-33C98083A09A}"/>
              </a:ext>
            </a:extLst>
          </xdr:cNvPr>
          <xdr:cNvSpPr>
            <a:spLocks/>
          </xdr:cNvSpPr>
        </xdr:nvSpPr>
        <xdr:spPr bwMode="auto">
          <a:xfrm>
            <a:off x="890" y="178"/>
            <a:ext cx="37" cy="3"/>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742" y="0"/>
                </a:moveTo>
                <a:lnTo>
                  <a:pt x="0" y="172"/>
                </a:lnTo>
                <a:lnTo>
                  <a:pt x="1776" y="0"/>
                </a:lnTo>
                <a:lnTo>
                  <a:pt x="742" y="0"/>
                </a:lnTo>
                <a:close/>
              </a:path>
            </a:pathLst>
          </a:custGeom>
          <a:solidFill>
            <a:srgbClr val="000000"/>
          </a:solidFill>
          <a:ln w="12700">
            <a:solidFill>
              <a:srgbClr val="000000"/>
            </a:solidFill>
            <a:round/>
            <a:headEnd/>
            <a:tailEnd/>
          </a:ln>
        </xdr:spPr>
      </xdr:sp>
      <xdr:sp macro="" textlink="">
        <xdr:nvSpPr>
          <xdr:cNvPr id="164" name="Freeform 13">
            <a:extLst>
              <a:ext uri="{FF2B5EF4-FFF2-40B4-BE49-F238E27FC236}">
                <a16:creationId xmlns:a16="http://schemas.microsoft.com/office/drawing/2014/main" id="{97E2D388-0B31-46AF-A8FA-E7FCFD03D285}"/>
              </a:ext>
            </a:extLst>
          </xdr:cNvPr>
          <xdr:cNvSpPr>
            <a:spLocks/>
          </xdr:cNvSpPr>
        </xdr:nvSpPr>
        <xdr:spPr bwMode="auto">
          <a:xfrm>
            <a:off x="890" y="178"/>
            <a:ext cx="37" cy="3"/>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742" y="0"/>
                </a:moveTo>
                <a:lnTo>
                  <a:pt x="0" y="172"/>
                </a:lnTo>
                <a:lnTo>
                  <a:pt x="1776" y="0"/>
                </a:lnTo>
                <a:lnTo>
                  <a:pt x="74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5" name="Freeform 14">
            <a:extLst>
              <a:ext uri="{FF2B5EF4-FFF2-40B4-BE49-F238E27FC236}">
                <a16:creationId xmlns:a16="http://schemas.microsoft.com/office/drawing/2014/main" id="{71B7B3FF-6FB4-4770-8C93-EF53D225EAF8}"/>
              </a:ext>
            </a:extLst>
          </xdr:cNvPr>
          <xdr:cNvSpPr>
            <a:spLocks/>
          </xdr:cNvSpPr>
        </xdr:nvSpPr>
        <xdr:spPr bwMode="auto">
          <a:xfrm>
            <a:off x="868" y="178"/>
            <a:ext cx="15" cy="7"/>
          </a:xfrm>
          <a:custGeom>
            <a:avLst/>
            <a:gdLst>
              <a:gd name="T0" fmla="*/ 0 w 743"/>
              <a:gd name="T1" fmla="*/ 0 h 368"/>
              <a:gd name="T2" fmla="*/ 0 w 743"/>
              <a:gd name="T3" fmla="*/ 0 h 368"/>
              <a:gd name="T4" fmla="*/ 0 w 743"/>
              <a:gd name="T5" fmla="*/ 0 h 368"/>
              <a:gd name="T6" fmla="*/ 0 w 743"/>
              <a:gd name="T7" fmla="*/ 0 h 368"/>
              <a:gd name="T8" fmla="*/ 0 60000 65536"/>
              <a:gd name="T9" fmla="*/ 0 60000 65536"/>
              <a:gd name="T10" fmla="*/ 0 60000 65536"/>
              <a:gd name="T11" fmla="*/ 0 60000 65536"/>
              <a:gd name="T12" fmla="*/ 0 w 743"/>
              <a:gd name="T13" fmla="*/ 0 h 368"/>
              <a:gd name="T14" fmla="*/ 743 w 743"/>
              <a:gd name="T15" fmla="*/ 368 h 368"/>
            </a:gdLst>
            <a:ahLst/>
            <a:cxnLst>
              <a:cxn ang="T8">
                <a:pos x="T0" y="T1"/>
              </a:cxn>
              <a:cxn ang="T9">
                <a:pos x="T2" y="T3"/>
              </a:cxn>
              <a:cxn ang="T10">
                <a:pos x="T4" y="T5"/>
              </a:cxn>
              <a:cxn ang="T11">
                <a:pos x="T6" y="T7"/>
              </a:cxn>
            </a:cxnLst>
            <a:rect l="T12" t="T13" r="T14" b="T15"/>
            <a:pathLst>
              <a:path w="743" h="368">
                <a:moveTo>
                  <a:pt x="0" y="0"/>
                </a:moveTo>
                <a:lnTo>
                  <a:pt x="548" y="368"/>
                </a:lnTo>
                <a:lnTo>
                  <a:pt x="743" y="172"/>
                </a:lnTo>
                <a:lnTo>
                  <a:pt x="0" y="0"/>
                </a:lnTo>
                <a:close/>
              </a:path>
            </a:pathLst>
          </a:custGeom>
          <a:solidFill>
            <a:srgbClr val="000000"/>
          </a:solidFill>
          <a:ln w="12700">
            <a:solidFill>
              <a:srgbClr val="000000"/>
            </a:solidFill>
            <a:round/>
            <a:headEnd/>
            <a:tailEnd/>
          </a:ln>
        </xdr:spPr>
      </xdr:sp>
      <xdr:sp macro="" textlink="">
        <xdr:nvSpPr>
          <xdr:cNvPr id="166" name="Freeform 15">
            <a:extLst>
              <a:ext uri="{FF2B5EF4-FFF2-40B4-BE49-F238E27FC236}">
                <a16:creationId xmlns:a16="http://schemas.microsoft.com/office/drawing/2014/main" id="{3FC9129C-E1BA-4653-9801-24E235717842}"/>
              </a:ext>
            </a:extLst>
          </xdr:cNvPr>
          <xdr:cNvSpPr>
            <a:spLocks/>
          </xdr:cNvSpPr>
        </xdr:nvSpPr>
        <xdr:spPr bwMode="auto">
          <a:xfrm>
            <a:off x="868" y="178"/>
            <a:ext cx="15" cy="7"/>
          </a:xfrm>
          <a:custGeom>
            <a:avLst/>
            <a:gdLst>
              <a:gd name="T0" fmla="*/ 0 w 743"/>
              <a:gd name="T1" fmla="*/ 0 h 368"/>
              <a:gd name="T2" fmla="*/ 0 w 743"/>
              <a:gd name="T3" fmla="*/ 0 h 368"/>
              <a:gd name="T4" fmla="*/ 0 w 743"/>
              <a:gd name="T5" fmla="*/ 0 h 368"/>
              <a:gd name="T6" fmla="*/ 0 w 743"/>
              <a:gd name="T7" fmla="*/ 0 h 368"/>
              <a:gd name="T8" fmla="*/ 0 60000 65536"/>
              <a:gd name="T9" fmla="*/ 0 60000 65536"/>
              <a:gd name="T10" fmla="*/ 0 60000 65536"/>
              <a:gd name="T11" fmla="*/ 0 60000 65536"/>
              <a:gd name="T12" fmla="*/ 0 w 743"/>
              <a:gd name="T13" fmla="*/ 0 h 368"/>
              <a:gd name="T14" fmla="*/ 743 w 743"/>
              <a:gd name="T15" fmla="*/ 368 h 368"/>
            </a:gdLst>
            <a:ahLst/>
            <a:cxnLst>
              <a:cxn ang="T8">
                <a:pos x="T0" y="T1"/>
              </a:cxn>
              <a:cxn ang="T9">
                <a:pos x="T2" y="T3"/>
              </a:cxn>
              <a:cxn ang="T10">
                <a:pos x="T4" y="T5"/>
              </a:cxn>
              <a:cxn ang="T11">
                <a:pos x="T6" y="T7"/>
              </a:cxn>
            </a:cxnLst>
            <a:rect l="T12" t="T13" r="T14" b="T15"/>
            <a:pathLst>
              <a:path w="743" h="368">
                <a:moveTo>
                  <a:pt x="0" y="0"/>
                </a:moveTo>
                <a:lnTo>
                  <a:pt x="548" y="368"/>
                </a:lnTo>
                <a:lnTo>
                  <a:pt x="743" y="17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7" name="Freeform 16">
            <a:extLst>
              <a:ext uri="{FF2B5EF4-FFF2-40B4-BE49-F238E27FC236}">
                <a16:creationId xmlns:a16="http://schemas.microsoft.com/office/drawing/2014/main" id="{C5C7E978-A109-45F7-80AD-8920677FDBEB}"/>
              </a:ext>
            </a:extLst>
          </xdr:cNvPr>
          <xdr:cNvSpPr>
            <a:spLocks/>
          </xdr:cNvSpPr>
        </xdr:nvSpPr>
        <xdr:spPr bwMode="auto">
          <a:xfrm>
            <a:off x="847" y="178"/>
            <a:ext cx="32" cy="7"/>
          </a:xfrm>
          <a:custGeom>
            <a:avLst/>
            <a:gdLst>
              <a:gd name="T0" fmla="*/ 0 w 1582"/>
              <a:gd name="T1" fmla="*/ 0 h 368"/>
              <a:gd name="T2" fmla="*/ 0 w 1582"/>
              <a:gd name="T3" fmla="*/ 0 h 368"/>
              <a:gd name="T4" fmla="*/ 0 w 1582"/>
              <a:gd name="T5" fmla="*/ 0 h 368"/>
              <a:gd name="T6" fmla="*/ 0 w 1582"/>
              <a:gd name="T7" fmla="*/ 0 h 368"/>
              <a:gd name="T8" fmla="*/ 0 60000 65536"/>
              <a:gd name="T9" fmla="*/ 0 60000 65536"/>
              <a:gd name="T10" fmla="*/ 0 60000 65536"/>
              <a:gd name="T11" fmla="*/ 0 60000 65536"/>
              <a:gd name="T12" fmla="*/ 0 w 1582"/>
              <a:gd name="T13" fmla="*/ 0 h 368"/>
              <a:gd name="T14" fmla="*/ 1582 w 1582"/>
              <a:gd name="T15" fmla="*/ 368 h 368"/>
            </a:gdLst>
            <a:ahLst/>
            <a:cxnLst>
              <a:cxn ang="T8">
                <a:pos x="T0" y="T1"/>
              </a:cxn>
              <a:cxn ang="T9">
                <a:pos x="T2" y="T3"/>
              </a:cxn>
              <a:cxn ang="T10">
                <a:pos x="T4" y="T5"/>
              </a:cxn>
              <a:cxn ang="T11">
                <a:pos x="T6" y="T7"/>
              </a:cxn>
            </a:cxnLst>
            <a:rect l="T12" t="T13" r="T14" b="T15"/>
            <a:pathLst>
              <a:path w="1582" h="368">
                <a:moveTo>
                  <a:pt x="0" y="0"/>
                </a:moveTo>
                <a:lnTo>
                  <a:pt x="1582" y="368"/>
                </a:lnTo>
                <a:lnTo>
                  <a:pt x="1034" y="0"/>
                </a:lnTo>
                <a:lnTo>
                  <a:pt x="0" y="0"/>
                </a:lnTo>
                <a:close/>
              </a:path>
            </a:pathLst>
          </a:custGeom>
          <a:solidFill>
            <a:srgbClr val="000000"/>
          </a:solidFill>
          <a:ln w="12700">
            <a:solidFill>
              <a:srgbClr val="000000"/>
            </a:solidFill>
            <a:round/>
            <a:headEnd/>
            <a:tailEnd/>
          </a:ln>
        </xdr:spPr>
      </xdr:sp>
      <xdr:sp macro="" textlink="">
        <xdr:nvSpPr>
          <xdr:cNvPr id="168" name="Freeform 17">
            <a:extLst>
              <a:ext uri="{FF2B5EF4-FFF2-40B4-BE49-F238E27FC236}">
                <a16:creationId xmlns:a16="http://schemas.microsoft.com/office/drawing/2014/main" id="{F6B62E77-FDB2-489C-9914-3EB87533D75D}"/>
              </a:ext>
            </a:extLst>
          </xdr:cNvPr>
          <xdr:cNvSpPr>
            <a:spLocks/>
          </xdr:cNvSpPr>
        </xdr:nvSpPr>
        <xdr:spPr bwMode="auto">
          <a:xfrm>
            <a:off x="847" y="178"/>
            <a:ext cx="32" cy="7"/>
          </a:xfrm>
          <a:custGeom>
            <a:avLst/>
            <a:gdLst>
              <a:gd name="T0" fmla="*/ 0 w 1582"/>
              <a:gd name="T1" fmla="*/ 0 h 368"/>
              <a:gd name="T2" fmla="*/ 0 w 1582"/>
              <a:gd name="T3" fmla="*/ 0 h 368"/>
              <a:gd name="T4" fmla="*/ 0 w 1582"/>
              <a:gd name="T5" fmla="*/ 0 h 368"/>
              <a:gd name="T6" fmla="*/ 0 w 1582"/>
              <a:gd name="T7" fmla="*/ 0 h 368"/>
              <a:gd name="T8" fmla="*/ 0 60000 65536"/>
              <a:gd name="T9" fmla="*/ 0 60000 65536"/>
              <a:gd name="T10" fmla="*/ 0 60000 65536"/>
              <a:gd name="T11" fmla="*/ 0 60000 65536"/>
              <a:gd name="T12" fmla="*/ 0 w 1582"/>
              <a:gd name="T13" fmla="*/ 0 h 368"/>
              <a:gd name="T14" fmla="*/ 1582 w 1582"/>
              <a:gd name="T15" fmla="*/ 368 h 368"/>
            </a:gdLst>
            <a:ahLst/>
            <a:cxnLst>
              <a:cxn ang="T8">
                <a:pos x="T0" y="T1"/>
              </a:cxn>
              <a:cxn ang="T9">
                <a:pos x="T2" y="T3"/>
              </a:cxn>
              <a:cxn ang="T10">
                <a:pos x="T4" y="T5"/>
              </a:cxn>
              <a:cxn ang="T11">
                <a:pos x="T6" y="T7"/>
              </a:cxn>
            </a:cxnLst>
            <a:rect l="T12" t="T13" r="T14" b="T15"/>
            <a:pathLst>
              <a:path w="1582" h="368">
                <a:moveTo>
                  <a:pt x="0" y="0"/>
                </a:moveTo>
                <a:lnTo>
                  <a:pt x="1582" y="368"/>
                </a:lnTo>
                <a:lnTo>
                  <a:pt x="1034" y="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9" name="Freeform 18">
            <a:extLst>
              <a:ext uri="{FF2B5EF4-FFF2-40B4-BE49-F238E27FC236}">
                <a16:creationId xmlns:a16="http://schemas.microsoft.com/office/drawing/2014/main" id="{D3FD07ED-6814-447E-9B26-70E5C604B9D5}"/>
              </a:ext>
            </a:extLst>
          </xdr:cNvPr>
          <xdr:cNvSpPr>
            <a:spLocks/>
          </xdr:cNvSpPr>
        </xdr:nvSpPr>
        <xdr:spPr bwMode="auto">
          <a:xfrm>
            <a:off x="890" y="174"/>
            <a:ext cx="37" cy="4"/>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0" y="0"/>
                </a:moveTo>
                <a:lnTo>
                  <a:pt x="742" y="172"/>
                </a:lnTo>
                <a:lnTo>
                  <a:pt x="1776" y="172"/>
                </a:lnTo>
                <a:lnTo>
                  <a:pt x="0" y="0"/>
                </a:lnTo>
                <a:close/>
              </a:path>
            </a:pathLst>
          </a:custGeom>
          <a:solidFill>
            <a:srgbClr val="000000"/>
          </a:solidFill>
          <a:ln w="12700">
            <a:solidFill>
              <a:srgbClr val="000000"/>
            </a:solidFill>
            <a:round/>
            <a:headEnd/>
            <a:tailEnd/>
          </a:ln>
        </xdr:spPr>
      </xdr:sp>
      <xdr:sp macro="" textlink="">
        <xdr:nvSpPr>
          <xdr:cNvPr id="170" name="Freeform 19">
            <a:extLst>
              <a:ext uri="{FF2B5EF4-FFF2-40B4-BE49-F238E27FC236}">
                <a16:creationId xmlns:a16="http://schemas.microsoft.com/office/drawing/2014/main" id="{42E957B8-5269-44CE-A5FB-5644F1426F64}"/>
              </a:ext>
            </a:extLst>
          </xdr:cNvPr>
          <xdr:cNvSpPr>
            <a:spLocks/>
          </xdr:cNvSpPr>
        </xdr:nvSpPr>
        <xdr:spPr bwMode="auto">
          <a:xfrm>
            <a:off x="890" y="174"/>
            <a:ext cx="37" cy="4"/>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0" y="0"/>
                </a:moveTo>
                <a:lnTo>
                  <a:pt x="742" y="172"/>
                </a:lnTo>
                <a:lnTo>
                  <a:pt x="1776" y="17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1" name="Freeform 20">
            <a:extLst>
              <a:ext uri="{FF2B5EF4-FFF2-40B4-BE49-F238E27FC236}">
                <a16:creationId xmlns:a16="http://schemas.microsoft.com/office/drawing/2014/main" id="{6F4A6E34-E1B1-41C1-919C-C0DDCE31D86A}"/>
              </a:ext>
            </a:extLst>
          </xdr:cNvPr>
          <xdr:cNvSpPr>
            <a:spLocks/>
          </xdr:cNvSpPr>
        </xdr:nvSpPr>
        <xdr:spPr bwMode="auto">
          <a:xfrm>
            <a:off x="847" y="174"/>
            <a:ext cx="36" cy="4"/>
          </a:xfrm>
          <a:custGeom>
            <a:avLst/>
            <a:gdLst>
              <a:gd name="T0" fmla="*/ 0 w 1777"/>
              <a:gd name="T1" fmla="*/ 0 h 172"/>
              <a:gd name="T2" fmla="*/ 0 w 1777"/>
              <a:gd name="T3" fmla="*/ 0 h 172"/>
              <a:gd name="T4" fmla="*/ 0 w 1777"/>
              <a:gd name="T5" fmla="*/ 0 h 172"/>
              <a:gd name="T6" fmla="*/ 0 w 1777"/>
              <a:gd name="T7" fmla="*/ 0 h 172"/>
              <a:gd name="T8" fmla="*/ 0 60000 65536"/>
              <a:gd name="T9" fmla="*/ 0 60000 65536"/>
              <a:gd name="T10" fmla="*/ 0 60000 65536"/>
              <a:gd name="T11" fmla="*/ 0 60000 65536"/>
              <a:gd name="T12" fmla="*/ 0 w 1777"/>
              <a:gd name="T13" fmla="*/ 0 h 172"/>
              <a:gd name="T14" fmla="*/ 1777 w 1777"/>
              <a:gd name="T15" fmla="*/ 172 h 172"/>
            </a:gdLst>
            <a:ahLst/>
            <a:cxnLst>
              <a:cxn ang="T8">
                <a:pos x="T0" y="T1"/>
              </a:cxn>
              <a:cxn ang="T9">
                <a:pos x="T2" y="T3"/>
              </a:cxn>
              <a:cxn ang="T10">
                <a:pos x="T4" y="T5"/>
              </a:cxn>
              <a:cxn ang="T11">
                <a:pos x="T6" y="T7"/>
              </a:cxn>
            </a:cxnLst>
            <a:rect l="T12" t="T13" r="T14" b="T15"/>
            <a:pathLst>
              <a:path w="1777" h="172">
                <a:moveTo>
                  <a:pt x="1777" y="0"/>
                </a:moveTo>
                <a:lnTo>
                  <a:pt x="0" y="172"/>
                </a:lnTo>
                <a:lnTo>
                  <a:pt x="1034" y="172"/>
                </a:lnTo>
                <a:lnTo>
                  <a:pt x="1777" y="0"/>
                </a:lnTo>
                <a:close/>
              </a:path>
            </a:pathLst>
          </a:custGeom>
          <a:solidFill>
            <a:srgbClr val="000000"/>
          </a:solidFill>
          <a:ln w="12700">
            <a:solidFill>
              <a:srgbClr val="000000"/>
            </a:solidFill>
            <a:round/>
            <a:headEnd/>
            <a:tailEnd/>
          </a:ln>
        </xdr:spPr>
      </xdr:sp>
      <xdr:sp macro="" textlink="">
        <xdr:nvSpPr>
          <xdr:cNvPr id="172" name="Freeform 21">
            <a:extLst>
              <a:ext uri="{FF2B5EF4-FFF2-40B4-BE49-F238E27FC236}">
                <a16:creationId xmlns:a16="http://schemas.microsoft.com/office/drawing/2014/main" id="{C71433DA-4C80-47FF-9261-CE977E289CEB}"/>
              </a:ext>
            </a:extLst>
          </xdr:cNvPr>
          <xdr:cNvSpPr>
            <a:spLocks/>
          </xdr:cNvSpPr>
        </xdr:nvSpPr>
        <xdr:spPr bwMode="auto">
          <a:xfrm>
            <a:off x="847" y="174"/>
            <a:ext cx="36" cy="4"/>
          </a:xfrm>
          <a:custGeom>
            <a:avLst/>
            <a:gdLst>
              <a:gd name="T0" fmla="*/ 0 w 1777"/>
              <a:gd name="T1" fmla="*/ 0 h 172"/>
              <a:gd name="T2" fmla="*/ 0 w 1777"/>
              <a:gd name="T3" fmla="*/ 0 h 172"/>
              <a:gd name="T4" fmla="*/ 0 w 1777"/>
              <a:gd name="T5" fmla="*/ 0 h 172"/>
              <a:gd name="T6" fmla="*/ 0 w 1777"/>
              <a:gd name="T7" fmla="*/ 0 h 172"/>
              <a:gd name="T8" fmla="*/ 0 60000 65536"/>
              <a:gd name="T9" fmla="*/ 0 60000 65536"/>
              <a:gd name="T10" fmla="*/ 0 60000 65536"/>
              <a:gd name="T11" fmla="*/ 0 60000 65536"/>
              <a:gd name="T12" fmla="*/ 0 w 1777"/>
              <a:gd name="T13" fmla="*/ 0 h 172"/>
              <a:gd name="T14" fmla="*/ 1777 w 1777"/>
              <a:gd name="T15" fmla="*/ 172 h 172"/>
            </a:gdLst>
            <a:ahLst/>
            <a:cxnLst>
              <a:cxn ang="T8">
                <a:pos x="T0" y="T1"/>
              </a:cxn>
              <a:cxn ang="T9">
                <a:pos x="T2" y="T3"/>
              </a:cxn>
              <a:cxn ang="T10">
                <a:pos x="T4" y="T5"/>
              </a:cxn>
              <a:cxn ang="T11">
                <a:pos x="T6" y="T7"/>
              </a:cxn>
            </a:cxnLst>
            <a:rect l="T12" t="T13" r="T14" b="T15"/>
            <a:pathLst>
              <a:path w="1777" h="172">
                <a:moveTo>
                  <a:pt x="1777" y="0"/>
                </a:moveTo>
                <a:lnTo>
                  <a:pt x="0" y="172"/>
                </a:lnTo>
                <a:lnTo>
                  <a:pt x="1034" y="172"/>
                </a:lnTo>
                <a:lnTo>
                  <a:pt x="1777"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Freeform 22">
            <a:extLst>
              <a:ext uri="{FF2B5EF4-FFF2-40B4-BE49-F238E27FC236}">
                <a16:creationId xmlns:a16="http://schemas.microsoft.com/office/drawing/2014/main" id="{CF3CC387-99FE-409D-8A0C-2410B057A08C}"/>
              </a:ext>
            </a:extLst>
          </xdr:cNvPr>
          <xdr:cNvSpPr>
            <a:spLocks/>
          </xdr:cNvSpPr>
        </xdr:nvSpPr>
        <xdr:spPr bwMode="auto">
          <a:xfrm>
            <a:off x="890" y="170"/>
            <a:ext cx="37" cy="8"/>
          </a:xfrm>
          <a:custGeom>
            <a:avLst/>
            <a:gdLst>
              <a:gd name="T0" fmla="*/ 0 w 1776"/>
              <a:gd name="T1" fmla="*/ 0 h 367"/>
              <a:gd name="T2" fmla="*/ 0 w 1776"/>
              <a:gd name="T3" fmla="*/ 0 h 367"/>
              <a:gd name="T4" fmla="*/ 0 w 1776"/>
              <a:gd name="T5" fmla="*/ 0 h 367"/>
              <a:gd name="T6" fmla="*/ 0 w 1776"/>
              <a:gd name="T7" fmla="*/ 0 h 367"/>
              <a:gd name="T8" fmla="*/ 0 60000 65536"/>
              <a:gd name="T9" fmla="*/ 0 60000 65536"/>
              <a:gd name="T10" fmla="*/ 0 60000 65536"/>
              <a:gd name="T11" fmla="*/ 0 60000 65536"/>
              <a:gd name="T12" fmla="*/ 0 w 1776"/>
              <a:gd name="T13" fmla="*/ 0 h 367"/>
              <a:gd name="T14" fmla="*/ 1776 w 1776"/>
              <a:gd name="T15" fmla="*/ 367 h 367"/>
            </a:gdLst>
            <a:ahLst/>
            <a:cxnLst>
              <a:cxn ang="T8">
                <a:pos x="T0" y="T1"/>
              </a:cxn>
              <a:cxn ang="T9">
                <a:pos x="T2" y="T3"/>
              </a:cxn>
              <a:cxn ang="T10">
                <a:pos x="T4" y="T5"/>
              </a:cxn>
              <a:cxn ang="T11">
                <a:pos x="T6" y="T7"/>
              </a:cxn>
            </a:cxnLst>
            <a:rect l="T12" t="T13" r="T14" b="T15"/>
            <a:pathLst>
              <a:path w="1776" h="367">
                <a:moveTo>
                  <a:pt x="193" y="0"/>
                </a:moveTo>
                <a:lnTo>
                  <a:pt x="0" y="195"/>
                </a:lnTo>
                <a:lnTo>
                  <a:pt x="1776" y="367"/>
                </a:lnTo>
                <a:lnTo>
                  <a:pt x="193" y="0"/>
                </a:lnTo>
                <a:close/>
              </a:path>
            </a:pathLst>
          </a:custGeom>
          <a:solidFill>
            <a:srgbClr val="000000"/>
          </a:solidFill>
          <a:ln w="12700">
            <a:solidFill>
              <a:srgbClr val="000000"/>
            </a:solidFill>
            <a:round/>
            <a:headEnd/>
            <a:tailEnd/>
          </a:ln>
        </xdr:spPr>
      </xdr:sp>
      <xdr:sp macro="" textlink="">
        <xdr:nvSpPr>
          <xdr:cNvPr id="174" name="Freeform 23">
            <a:extLst>
              <a:ext uri="{FF2B5EF4-FFF2-40B4-BE49-F238E27FC236}">
                <a16:creationId xmlns:a16="http://schemas.microsoft.com/office/drawing/2014/main" id="{796EBCCE-F6F7-4F67-AD64-09D4F6B932EB}"/>
              </a:ext>
            </a:extLst>
          </xdr:cNvPr>
          <xdr:cNvSpPr>
            <a:spLocks/>
          </xdr:cNvSpPr>
        </xdr:nvSpPr>
        <xdr:spPr bwMode="auto">
          <a:xfrm>
            <a:off x="890" y="170"/>
            <a:ext cx="37" cy="8"/>
          </a:xfrm>
          <a:custGeom>
            <a:avLst/>
            <a:gdLst>
              <a:gd name="T0" fmla="*/ 0 w 1776"/>
              <a:gd name="T1" fmla="*/ 0 h 367"/>
              <a:gd name="T2" fmla="*/ 0 w 1776"/>
              <a:gd name="T3" fmla="*/ 0 h 367"/>
              <a:gd name="T4" fmla="*/ 0 w 1776"/>
              <a:gd name="T5" fmla="*/ 0 h 367"/>
              <a:gd name="T6" fmla="*/ 0 w 1776"/>
              <a:gd name="T7" fmla="*/ 0 h 367"/>
              <a:gd name="T8" fmla="*/ 0 60000 65536"/>
              <a:gd name="T9" fmla="*/ 0 60000 65536"/>
              <a:gd name="T10" fmla="*/ 0 60000 65536"/>
              <a:gd name="T11" fmla="*/ 0 60000 65536"/>
              <a:gd name="T12" fmla="*/ 0 w 1776"/>
              <a:gd name="T13" fmla="*/ 0 h 367"/>
              <a:gd name="T14" fmla="*/ 1776 w 1776"/>
              <a:gd name="T15" fmla="*/ 367 h 367"/>
            </a:gdLst>
            <a:ahLst/>
            <a:cxnLst>
              <a:cxn ang="T8">
                <a:pos x="T0" y="T1"/>
              </a:cxn>
              <a:cxn ang="T9">
                <a:pos x="T2" y="T3"/>
              </a:cxn>
              <a:cxn ang="T10">
                <a:pos x="T4" y="T5"/>
              </a:cxn>
              <a:cxn ang="T11">
                <a:pos x="T6" y="T7"/>
              </a:cxn>
            </a:cxnLst>
            <a:rect l="T12" t="T13" r="T14" b="T15"/>
            <a:pathLst>
              <a:path w="1776" h="367">
                <a:moveTo>
                  <a:pt x="193" y="0"/>
                </a:moveTo>
                <a:lnTo>
                  <a:pt x="0" y="195"/>
                </a:lnTo>
                <a:lnTo>
                  <a:pt x="1776" y="367"/>
                </a:lnTo>
                <a:lnTo>
                  <a:pt x="193"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5" name="Freeform 24">
            <a:extLst>
              <a:ext uri="{FF2B5EF4-FFF2-40B4-BE49-F238E27FC236}">
                <a16:creationId xmlns:a16="http://schemas.microsoft.com/office/drawing/2014/main" id="{AA2CBA59-9C1C-4770-AE2D-1C4660C938D6}"/>
              </a:ext>
            </a:extLst>
          </xdr:cNvPr>
          <xdr:cNvSpPr>
            <a:spLocks/>
          </xdr:cNvSpPr>
        </xdr:nvSpPr>
        <xdr:spPr bwMode="auto">
          <a:xfrm>
            <a:off x="847" y="170"/>
            <a:ext cx="36" cy="8"/>
          </a:xfrm>
          <a:custGeom>
            <a:avLst/>
            <a:gdLst>
              <a:gd name="T0" fmla="*/ 0 w 1777"/>
              <a:gd name="T1" fmla="*/ 0 h 367"/>
              <a:gd name="T2" fmla="*/ 0 w 1777"/>
              <a:gd name="T3" fmla="*/ 0 h 367"/>
              <a:gd name="T4" fmla="*/ 0 w 1777"/>
              <a:gd name="T5" fmla="*/ 0 h 367"/>
              <a:gd name="T6" fmla="*/ 0 w 1777"/>
              <a:gd name="T7" fmla="*/ 0 h 367"/>
              <a:gd name="T8" fmla="*/ 0 60000 65536"/>
              <a:gd name="T9" fmla="*/ 0 60000 65536"/>
              <a:gd name="T10" fmla="*/ 0 60000 65536"/>
              <a:gd name="T11" fmla="*/ 0 60000 65536"/>
              <a:gd name="T12" fmla="*/ 0 w 1777"/>
              <a:gd name="T13" fmla="*/ 0 h 367"/>
              <a:gd name="T14" fmla="*/ 1777 w 1777"/>
              <a:gd name="T15" fmla="*/ 367 h 367"/>
            </a:gdLst>
            <a:ahLst/>
            <a:cxnLst>
              <a:cxn ang="T8">
                <a:pos x="T0" y="T1"/>
              </a:cxn>
              <a:cxn ang="T9">
                <a:pos x="T2" y="T3"/>
              </a:cxn>
              <a:cxn ang="T10">
                <a:pos x="T4" y="T5"/>
              </a:cxn>
              <a:cxn ang="T11">
                <a:pos x="T6" y="T7"/>
              </a:cxn>
            </a:cxnLst>
            <a:rect l="T12" t="T13" r="T14" b="T15"/>
            <a:pathLst>
              <a:path w="1777" h="367">
                <a:moveTo>
                  <a:pt x="1582" y="0"/>
                </a:moveTo>
                <a:lnTo>
                  <a:pt x="0" y="367"/>
                </a:lnTo>
                <a:lnTo>
                  <a:pt x="1777" y="195"/>
                </a:lnTo>
                <a:lnTo>
                  <a:pt x="1582" y="0"/>
                </a:lnTo>
                <a:close/>
              </a:path>
            </a:pathLst>
          </a:custGeom>
          <a:solidFill>
            <a:srgbClr val="000000"/>
          </a:solidFill>
          <a:ln w="12700">
            <a:solidFill>
              <a:srgbClr val="000000"/>
            </a:solidFill>
            <a:round/>
            <a:headEnd/>
            <a:tailEnd/>
          </a:ln>
        </xdr:spPr>
      </xdr:sp>
      <xdr:sp macro="" textlink="">
        <xdr:nvSpPr>
          <xdr:cNvPr id="176" name="Freeform 25">
            <a:extLst>
              <a:ext uri="{FF2B5EF4-FFF2-40B4-BE49-F238E27FC236}">
                <a16:creationId xmlns:a16="http://schemas.microsoft.com/office/drawing/2014/main" id="{B2C6A00B-42DA-41F0-80C9-3E2849EEA9FC}"/>
              </a:ext>
            </a:extLst>
          </xdr:cNvPr>
          <xdr:cNvSpPr>
            <a:spLocks/>
          </xdr:cNvSpPr>
        </xdr:nvSpPr>
        <xdr:spPr bwMode="auto">
          <a:xfrm>
            <a:off x="847" y="170"/>
            <a:ext cx="36" cy="8"/>
          </a:xfrm>
          <a:custGeom>
            <a:avLst/>
            <a:gdLst>
              <a:gd name="T0" fmla="*/ 0 w 1777"/>
              <a:gd name="T1" fmla="*/ 0 h 367"/>
              <a:gd name="T2" fmla="*/ 0 w 1777"/>
              <a:gd name="T3" fmla="*/ 0 h 367"/>
              <a:gd name="T4" fmla="*/ 0 w 1777"/>
              <a:gd name="T5" fmla="*/ 0 h 367"/>
              <a:gd name="T6" fmla="*/ 0 w 1777"/>
              <a:gd name="T7" fmla="*/ 0 h 367"/>
              <a:gd name="T8" fmla="*/ 0 60000 65536"/>
              <a:gd name="T9" fmla="*/ 0 60000 65536"/>
              <a:gd name="T10" fmla="*/ 0 60000 65536"/>
              <a:gd name="T11" fmla="*/ 0 60000 65536"/>
              <a:gd name="T12" fmla="*/ 0 w 1777"/>
              <a:gd name="T13" fmla="*/ 0 h 367"/>
              <a:gd name="T14" fmla="*/ 1777 w 1777"/>
              <a:gd name="T15" fmla="*/ 367 h 367"/>
            </a:gdLst>
            <a:ahLst/>
            <a:cxnLst>
              <a:cxn ang="T8">
                <a:pos x="T0" y="T1"/>
              </a:cxn>
              <a:cxn ang="T9">
                <a:pos x="T2" y="T3"/>
              </a:cxn>
              <a:cxn ang="T10">
                <a:pos x="T4" y="T5"/>
              </a:cxn>
              <a:cxn ang="T11">
                <a:pos x="T6" y="T7"/>
              </a:cxn>
            </a:cxnLst>
            <a:rect l="T12" t="T13" r="T14" b="T15"/>
            <a:pathLst>
              <a:path w="1777" h="367">
                <a:moveTo>
                  <a:pt x="1582" y="0"/>
                </a:moveTo>
                <a:lnTo>
                  <a:pt x="0" y="367"/>
                </a:lnTo>
                <a:lnTo>
                  <a:pt x="1777" y="195"/>
                </a:lnTo>
                <a:lnTo>
                  <a:pt x="158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7" name="Freeform 26">
            <a:extLst>
              <a:ext uri="{FF2B5EF4-FFF2-40B4-BE49-F238E27FC236}">
                <a16:creationId xmlns:a16="http://schemas.microsoft.com/office/drawing/2014/main" id="{B8629CF9-35CA-42E5-AF72-36F18659CA32}"/>
              </a:ext>
            </a:extLst>
          </xdr:cNvPr>
          <xdr:cNvSpPr>
            <a:spLocks/>
          </xdr:cNvSpPr>
        </xdr:nvSpPr>
        <xdr:spPr bwMode="auto">
          <a:xfrm>
            <a:off x="879" y="159"/>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365" y="0"/>
                </a:moveTo>
                <a:lnTo>
                  <a:pt x="0" y="551"/>
                </a:lnTo>
                <a:lnTo>
                  <a:pt x="195" y="746"/>
                </a:lnTo>
                <a:lnTo>
                  <a:pt x="365" y="0"/>
                </a:lnTo>
                <a:close/>
              </a:path>
            </a:pathLst>
          </a:custGeom>
          <a:solidFill>
            <a:srgbClr val="000000"/>
          </a:solidFill>
          <a:ln w="12700">
            <a:solidFill>
              <a:srgbClr val="000000"/>
            </a:solidFill>
            <a:round/>
            <a:headEnd/>
            <a:tailEnd/>
          </a:ln>
        </xdr:spPr>
      </xdr:sp>
      <xdr:sp macro="" textlink="">
        <xdr:nvSpPr>
          <xdr:cNvPr id="178" name="Freeform 27">
            <a:extLst>
              <a:ext uri="{FF2B5EF4-FFF2-40B4-BE49-F238E27FC236}">
                <a16:creationId xmlns:a16="http://schemas.microsoft.com/office/drawing/2014/main" id="{76AF51A7-F3AE-46BF-AE8E-DA3ADB1EBF6E}"/>
              </a:ext>
            </a:extLst>
          </xdr:cNvPr>
          <xdr:cNvSpPr>
            <a:spLocks/>
          </xdr:cNvSpPr>
        </xdr:nvSpPr>
        <xdr:spPr bwMode="auto">
          <a:xfrm>
            <a:off x="879" y="159"/>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365" y="0"/>
                </a:moveTo>
                <a:lnTo>
                  <a:pt x="0" y="551"/>
                </a:lnTo>
                <a:lnTo>
                  <a:pt x="195" y="746"/>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9" name="Freeform 28">
            <a:extLst>
              <a:ext uri="{FF2B5EF4-FFF2-40B4-BE49-F238E27FC236}">
                <a16:creationId xmlns:a16="http://schemas.microsoft.com/office/drawing/2014/main" id="{F010EC3A-5371-4BD9-996D-A38052174A93}"/>
              </a:ext>
            </a:extLst>
          </xdr:cNvPr>
          <xdr:cNvSpPr>
            <a:spLocks/>
          </xdr:cNvSpPr>
        </xdr:nvSpPr>
        <xdr:spPr bwMode="auto">
          <a:xfrm>
            <a:off x="887" y="159"/>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0" y="0"/>
                </a:moveTo>
                <a:lnTo>
                  <a:pt x="172" y="746"/>
                </a:lnTo>
                <a:lnTo>
                  <a:pt x="365" y="551"/>
                </a:lnTo>
                <a:lnTo>
                  <a:pt x="0" y="0"/>
                </a:lnTo>
                <a:close/>
              </a:path>
            </a:pathLst>
          </a:custGeom>
          <a:solidFill>
            <a:srgbClr val="000000"/>
          </a:solidFill>
          <a:ln w="12700">
            <a:solidFill>
              <a:srgbClr val="000000"/>
            </a:solidFill>
            <a:round/>
            <a:headEnd/>
            <a:tailEnd/>
          </a:ln>
        </xdr:spPr>
      </xdr:sp>
      <xdr:sp macro="" textlink="">
        <xdr:nvSpPr>
          <xdr:cNvPr id="180" name="Freeform 29">
            <a:extLst>
              <a:ext uri="{FF2B5EF4-FFF2-40B4-BE49-F238E27FC236}">
                <a16:creationId xmlns:a16="http://schemas.microsoft.com/office/drawing/2014/main" id="{0D12444F-89D0-4DC8-B7BF-9D9BFE313E06}"/>
              </a:ext>
            </a:extLst>
          </xdr:cNvPr>
          <xdr:cNvSpPr>
            <a:spLocks/>
          </xdr:cNvSpPr>
        </xdr:nvSpPr>
        <xdr:spPr bwMode="auto">
          <a:xfrm>
            <a:off x="887" y="159"/>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0" y="0"/>
                </a:moveTo>
                <a:lnTo>
                  <a:pt x="172" y="746"/>
                </a:lnTo>
                <a:lnTo>
                  <a:pt x="365" y="551"/>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1" name="Freeform 30">
            <a:extLst>
              <a:ext uri="{FF2B5EF4-FFF2-40B4-BE49-F238E27FC236}">
                <a16:creationId xmlns:a16="http://schemas.microsoft.com/office/drawing/2014/main" id="{F757B405-677D-4A66-A956-A09E4AB8FFAA}"/>
              </a:ext>
            </a:extLst>
          </xdr:cNvPr>
          <xdr:cNvSpPr>
            <a:spLocks/>
          </xdr:cNvSpPr>
        </xdr:nvSpPr>
        <xdr:spPr bwMode="auto">
          <a:xfrm>
            <a:off x="879" y="138"/>
            <a:ext cx="8"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365" y="0"/>
                </a:moveTo>
                <a:lnTo>
                  <a:pt x="0" y="1590"/>
                </a:lnTo>
                <a:lnTo>
                  <a:pt x="365" y="1039"/>
                </a:lnTo>
                <a:lnTo>
                  <a:pt x="365" y="0"/>
                </a:lnTo>
                <a:close/>
              </a:path>
            </a:pathLst>
          </a:custGeom>
          <a:solidFill>
            <a:srgbClr val="000000"/>
          </a:solidFill>
          <a:ln w="12700">
            <a:solidFill>
              <a:srgbClr val="000000"/>
            </a:solidFill>
            <a:round/>
            <a:headEnd/>
            <a:tailEnd/>
          </a:ln>
        </xdr:spPr>
      </xdr:sp>
      <xdr:sp macro="" textlink="">
        <xdr:nvSpPr>
          <xdr:cNvPr id="182" name="Freeform 31">
            <a:extLst>
              <a:ext uri="{FF2B5EF4-FFF2-40B4-BE49-F238E27FC236}">
                <a16:creationId xmlns:a16="http://schemas.microsoft.com/office/drawing/2014/main" id="{0BA1DFCD-0D53-4AD1-8C39-ED523689EA70}"/>
              </a:ext>
            </a:extLst>
          </xdr:cNvPr>
          <xdr:cNvSpPr>
            <a:spLocks/>
          </xdr:cNvSpPr>
        </xdr:nvSpPr>
        <xdr:spPr bwMode="auto">
          <a:xfrm>
            <a:off x="879" y="138"/>
            <a:ext cx="8"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365" y="0"/>
                </a:moveTo>
                <a:lnTo>
                  <a:pt x="0" y="1590"/>
                </a:lnTo>
                <a:lnTo>
                  <a:pt x="365" y="1039"/>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Freeform 32">
            <a:extLst>
              <a:ext uri="{FF2B5EF4-FFF2-40B4-BE49-F238E27FC236}">
                <a16:creationId xmlns:a16="http://schemas.microsoft.com/office/drawing/2014/main" id="{1D23EB90-DCF0-4169-89EB-2512F624E8F9}"/>
              </a:ext>
            </a:extLst>
          </xdr:cNvPr>
          <xdr:cNvSpPr>
            <a:spLocks/>
          </xdr:cNvSpPr>
        </xdr:nvSpPr>
        <xdr:spPr bwMode="auto">
          <a:xfrm>
            <a:off x="887" y="138"/>
            <a:ext cx="7"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0" y="0"/>
                </a:moveTo>
                <a:lnTo>
                  <a:pt x="0" y="1039"/>
                </a:lnTo>
                <a:lnTo>
                  <a:pt x="365" y="1590"/>
                </a:lnTo>
                <a:lnTo>
                  <a:pt x="0" y="0"/>
                </a:lnTo>
                <a:close/>
              </a:path>
            </a:pathLst>
          </a:custGeom>
          <a:solidFill>
            <a:srgbClr val="000000"/>
          </a:solidFill>
          <a:ln w="12700">
            <a:solidFill>
              <a:srgbClr val="000000"/>
            </a:solidFill>
            <a:round/>
            <a:headEnd/>
            <a:tailEnd/>
          </a:ln>
        </xdr:spPr>
      </xdr:sp>
      <xdr:sp macro="" textlink="">
        <xdr:nvSpPr>
          <xdr:cNvPr id="184" name="Freeform 33">
            <a:extLst>
              <a:ext uri="{FF2B5EF4-FFF2-40B4-BE49-F238E27FC236}">
                <a16:creationId xmlns:a16="http://schemas.microsoft.com/office/drawing/2014/main" id="{F1A1750C-C20A-4E1D-8E87-4F5537594827}"/>
              </a:ext>
            </a:extLst>
          </xdr:cNvPr>
          <xdr:cNvSpPr>
            <a:spLocks/>
          </xdr:cNvSpPr>
        </xdr:nvSpPr>
        <xdr:spPr bwMode="auto">
          <a:xfrm>
            <a:off x="887" y="138"/>
            <a:ext cx="7"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0" y="0"/>
                </a:moveTo>
                <a:lnTo>
                  <a:pt x="0" y="1039"/>
                </a:lnTo>
                <a:lnTo>
                  <a:pt x="365" y="159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5" name="Line 34">
            <a:extLst>
              <a:ext uri="{FF2B5EF4-FFF2-40B4-BE49-F238E27FC236}">
                <a16:creationId xmlns:a16="http://schemas.microsoft.com/office/drawing/2014/main" id="{69ED84ED-E230-4C8D-A955-05FEE2CC28D5}"/>
              </a:ext>
            </a:extLst>
          </xdr:cNvPr>
          <xdr:cNvSpPr>
            <a:spLocks noChangeShapeType="1"/>
          </xdr:cNvSpPr>
        </xdr:nvSpPr>
        <xdr:spPr bwMode="auto">
          <a:xfrm flipH="1" flipV="1">
            <a:off x="887" y="138"/>
            <a:ext cx="7" cy="3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6" name="Line 35">
            <a:extLst>
              <a:ext uri="{FF2B5EF4-FFF2-40B4-BE49-F238E27FC236}">
                <a16:creationId xmlns:a16="http://schemas.microsoft.com/office/drawing/2014/main" id="{B45E944E-43F6-4868-A42E-D2C3EBE0178D}"/>
              </a:ext>
            </a:extLst>
          </xdr:cNvPr>
          <xdr:cNvSpPr>
            <a:spLocks noChangeShapeType="1"/>
          </xdr:cNvSpPr>
        </xdr:nvSpPr>
        <xdr:spPr bwMode="auto">
          <a:xfrm flipH="1">
            <a:off x="879" y="138"/>
            <a:ext cx="8" cy="3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7" name="Line 36">
            <a:extLst>
              <a:ext uri="{FF2B5EF4-FFF2-40B4-BE49-F238E27FC236}">
                <a16:creationId xmlns:a16="http://schemas.microsoft.com/office/drawing/2014/main" id="{229D7DAD-5739-46FA-861E-3D33F3E455FA}"/>
              </a:ext>
            </a:extLst>
          </xdr:cNvPr>
          <xdr:cNvSpPr>
            <a:spLocks noChangeShapeType="1"/>
          </xdr:cNvSpPr>
        </xdr:nvSpPr>
        <xdr:spPr bwMode="auto">
          <a:xfrm flipH="1">
            <a:off x="847" y="170"/>
            <a:ext cx="32" cy="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8" name="Line 37">
            <a:extLst>
              <a:ext uri="{FF2B5EF4-FFF2-40B4-BE49-F238E27FC236}">
                <a16:creationId xmlns:a16="http://schemas.microsoft.com/office/drawing/2014/main" id="{99FA69CA-AB12-4438-8124-CE62BBDB26D7}"/>
              </a:ext>
            </a:extLst>
          </xdr:cNvPr>
          <xdr:cNvSpPr>
            <a:spLocks noChangeShapeType="1"/>
          </xdr:cNvSpPr>
        </xdr:nvSpPr>
        <xdr:spPr bwMode="auto">
          <a:xfrm>
            <a:off x="847" y="178"/>
            <a:ext cx="32" cy="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Line 38">
            <a:extLst>
              <a:ext uri="{FF2B5EF4-FFF2-40B4-BE49-F238E27FC236}">
                <a16:creationId xmlns:a16="http://schemas.microsoft.com/office/drawing/2014/main" id="{3FBEFAF1-7341-479E-998E-715C29EB6AB9}"/>
              </a:ext>
            </a:extLst>
          </xdr:cNvPr>
          <xdr:cNvSpPr>
            <a:spLocks noChangeShapeType="1"/>
          </xdr:cNvSpPr>
        </xdr:nvSpPr>
        <xdr:spPr bwMode="auto">
          <a:xfrm>
            <a:off x="879" y="185"/>
            <a:ext cx="8" cy="3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0" name="Line 39">
            <a:extLst>
              <a:ext uri="{FF2B5EF4-FFF2-40B4-BE49-F238E27FC236}">
                <a16:creationId xmlns:a16="http://schemas.microsoft.com/office/drawing/2014/main" id="{8F3A2379-721B-45AB-80DF-55BE4F050294}"/>
              </a:ext>
            </a:extLst>
          </xdr:cNvPr>
          <xdr:cNvSpPr>
            <a:spLocks noChangeShapeType="1"/>
          </xdr:cNvSpPr>
        </xdr:nvSpPr>
        <xdr:spPr bwMode="auto">
          <a:xfrm flipV="1">
            <a:off x="887" y="185"/>
            <a:ext cx="7" cy="3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1" name="Line 40">
            <a:extLst>
              <a:ext uri="{FF2B5EF4-FFF2-40B4-BE49-F238E27FC236}">
                <a16:creationId xmlns:a16="http://schemas.microsoft.com/office/drawing/2014/main" id="{302A9774-1BB4-4933-8E78-710DAA240627}"/>
              </a:ext>
            </a:extLst>
          </xdr:cNvPr>
          <xdr:cNvSpPr>
            <a:spLocks noChangeShapeType="1"/>
          </xdr:cNvSpPr>
        </xdr:nvSpPr>
        <xdr:spPr bwMode="auto">
          <a:xfrm flipV="1">
            <a:off x="894" y="178"/>
            <a:ext cx="33" cy="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Line 41">
            <a:extLst>
              <a:ext uri="{FF2B5EF4-FFF2-40B4-BE49-F238E27FC236}">
                <a16:creationId xmlns:a16="http://schemas.microsoft.com/office/drawing/2014/main" id="{8DABD08E-D4C4-41EB-8715-2A6B43534B63}"/>
              </a:ext>
            </a:extLst>
          </xdr:cNvPr>
          <xdr:cNvSpPr>
            <a:spLocks noChangeShapeType="1"/>
          </xdr:cNvSpPr>
        </xdr:nvSpPr>
        <xdr:spPr bwMode="auto">
          <a:xfrm flipH="1" flipV="1">
            <a:off x="894" y="170"/>
            <a:ext cx="33" cy="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3" name="Line 42">
            <a:extLst>
              <a:ext uri="{FF2B5EF4-FFF2-40B4-BE49-F238E27FC236}">
                <a16:creationId xmlns:a16="http://schemas.microsoft.com/office/drawing/2014/main" id="{2AB78A04-D0F2-4F14-8B43-D33C7BC89F7F}"/>
              </a:ext>
            </a:extLst>
          </xdr:cNvPr>
          <xdr:cNvSpPr>
            <a:spLocks noChangeShapeType="1"/>
          </xdr:cNvSpPr>
        </xdr:nvSpPr>
        <xdr:spPr bwMode="auto">
          <a:xfrm flipH="1" flipV="1">
            <a:off x="887" y="159"/>
            <a:ext cx="3"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4" name="Line 43">
            <a:extLst>
              <a:ext uri="{FF2B5EF4-FFF2-40B4-BE49-F238E27FC236}">
                <a16:creationId xmlns:a16="http://schemas.microsoft.com/office/drawing/2014/main" id="{0C74AC6F-69DF-446C-8D4A-34785BCEF33C}"/>
              </a:ext>
            </a:extLst>
          </xdr:cNvPr>
          <xdr:cNvSpPr>
            <a:spLocks noChangeShapeType="1"/>
          </xdr:cNvSpPr>
        </xdr:nvSpPr>
        <xdr:spPr bwMode="auto">
          <a:xfrm flipH="1">
            <a:off x="883" y="159"/>
            <a:ext cx="4"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5" name="Line 44">
            <a:extLst>
              <a:ext uri="{FF2B5EF4-FFF2-40B4-BE49-F238E27FC236}">
                <a16:creationId xmlns:a16="http://schemas.microsoft.com/office/drawing/2014/main" id="{14338D8E-366A-40AB-A838-29B15F268BE2}"/>
              </a:ext>
            </a:extLst>
          </xdr:cNvPr>
          <xdr:cNvSpPr>
            <a:spLocks noChangeShapeType="1"/>
          </xdr:cNvSpPr>
        </xdr:nvSpPr>
        <xdr:spPr bwMode="auto">
          <a:xfrm flipH="1">
            <a:off x="868" y="174"/>
            <a:ext cx="15" cy="4"/>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Line 45">
            <a:extLst>
              <a:ext uri="{FF2B5EF4-FFF2-40B4-BE49-F238E27FC236}">
                <a16:creationId xmlns:a16="http://schemas.microsoft.com/office/drawing/2014/main" id="{39A009B6-667D-45D3-8EAD-14E70FB687E4}"/>
              </a:ext>
            </a:extLst>
          </xdr:cNvPr>
          <xdr:cNvSpPr>
            <a:spLocks noChangeShapeType="1"/>
          </xdr:cNvSpPr>
        </xdr:nvSpPr>
        <xdr:spPr bwMode="auto">
          <a:xfrm>
            <a:off x="868" y="178"/>
            <a:ext cx="15" cy="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7" name="Line 46">
            <a:extLst>
              <a:ext uri="{FF2B5EF4-FFF2-40B4-BE49-F238E27FC236}">
                <a16:creationId xmlns:a16="http://schemas.microsoft.com/office/drawing/2014/main" id="{ED286600-35EF-41D4-9C5C-A72F0BABBCF7}"/>
              </a:ext>
            </a:extLst>
          </xdr:cNvPr>
          <xdr:cNvSpPr>
            <a:spLocks noChangeShapeType="1"/>
          </xdr:cNvSpPr>
        </xdr:nvSpPr>
        <xdr:spPr bwMode="auto">
          <a:xfrm>
            <a:off x="883" y="181"/>
            <a:ext cx="4"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 name="Line 47">
            <a:extLst>
              <a:ext uri="{FF2B5EF4-FFF2-40B4-BE49-F238E27FC236}">
                <a16:creationId xmlns:a16="http://schemas.microsoft.com/office/drawing/2014/main" id="{AA70ECF7-A4B6-459B-A06F-66A12EDB6543}"/>
              </a:ext>
            </a:extLst>
          </xdr:cNvPr>
          <xdr:cNvSpPr>
            <a:spLocks noChangeShapeType="1"/>
          </xdr:cNvSpPr>
        </xdr:nvSpPr>
        <xdr:spPr bwMode="auto">
          <a:xfrm flipV="1">
            <a:off x="887" y="181"/>
            <a:ext cx="3"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Line 48">
            <a:extLst>
              <a:ext uri="{FF2B5EF4-FFF2-40B4-BE49-F238E27FC236}">
                <a16:creationId xmlns:a16="http://schemas.microsoft.com/office/drawing/2014/main" id="{F39C177B-9215-41CA-BBB1-FCACA900C630}"/>
              </a:ext>
            </a:extLst>
          </xdr:cNvPr>
          <xdr:cNvSpPr>
            <a:spLocks noChangeShapeType="1"/>
          </xdr:cNvSpPr>
        </xdr:nvSpPr>
        <xdr:spPr bwMode="auto">
          <a:xfrm flipV="1">
            <a:off x="890" y="178"/>
            <a:ext cx="16" cy="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 name="Line 49">
            <a:extLst>
              <a:ext uri="{FF2B5EF4-FFF2-40B4-BE49-F238E27FC236}">
                <a16:creationId xmlns:a16="http://schemas.microsoft.com/office/drawing/2014/main" id="{3192FDE8-9AF4-4625-81F7-38E0A9A08805}"/>
              </a:ext>
            </a:extLst>
          </xdr:cNvPr>
          <xdr:cNvSpPr>
            <a:spLocks noChangeShapeType="1"/>
          </xdr:cNvSpPr>
        </xdr:nvSpPr>
        <xdr:spPr bwMode="auto">
          <a:xfrm flipH="1" flipV="1">
            <a:off x="890" y="174"/>
            <a:ext cx="16" cy="4"/>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1" name="Oval 50">
            <a:extLst>
              <a:ext uri="{FF2B5EF4-FFF2-40B4-BE49-F238E27FC236}">
                <a16:creationId xmlns:a16="http://schemas.microsoft.com/office/drawing/2014/main" id="{E23E7994-CE84-4CDF-8BCF-AEAACA4CCC78}"/>
              </a:ext>
            </a:extLst>
          </xdr:cNvPr>
          <xdr:cNvSpPr>
            <a:spLocks noChangeArrowheads="1"/>
          </xdr:cNvSpPr>
        </xdr:nvSpPr>
        <xdr:spPr bwMode="auto">
          <a:xfrm>
            <a:off x="846" y="138"/>
            <a:ext cx="81" cy="81"/>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33</xdr:row>
      <xdr:rowOff>152400</xdr:rowOff>
    </xdr:from>
    <xdr:to>
      <xdr:col>2</xdr:col>
      <xdr:colOff>152400</xdr:colOff>
      <xdr:row>34</xdr:row>
      <xdr:rowOff>238125</xdr:rowOff>
    </xdr:to>
    <xdr:grpSp>
      <xdr:nvGrpSpPr>
        <xdr:cNvPr id="2" name="Group 1">
          <a:extLst>
            <a:ext uri="{FF2B5EF4-FFF2-40B4-BE49-F238E27FC236}">
              <a16:creationId xmlns:a16="http://schemas.microsoft.com/office/drawing/2014/main" id="{00000000-0008-0000-0100-000002000000}"/>
            </a:ext>
          </a:extLst>
        </xdr:cNvPr>
        <xdr:cNvGrpSpPr>
          <a:grpSpLocks/>
        </xdr:cNvGrpSpPr>
      </xdr:nvGrpSpPr>
      <xdr:grpSpPr bwMode="auto">
        <a:xfrm>
          <a:off x="271182" y="10607488"/>
          <a:ext cx="497542" cy="466725"/>
          <a:chOff x="846" y="138"/>
          <a:chExt cx="81" cy="81"/>
        </a:xfrm>
      </xdr:grpSpPr>
      <xdr:sp macro="" textlink="">
        <xdr:nvSpPr>
          <xdr:cNvPr id="3" name="Freeform 2">
            <a:extLst>
              <a:ext uri="{FF2B5EF4-FFF2-40B4-BE49-F238E27FC236}">
                <a16:creationId xmlns:a16="http://schemas.microsoft.com/office/drawing/2014/main" id="{00000000-0008-0000-0100-000003000000}"/>
              </a:ext>
            </a:extLst>
          </xdr:cNvPr>
          <xdr:cNvSpPr>
            <a:spLocks/>
          </xdr:cNvSpPr>
        </xdr:nvSpPr>
        <xdr:spPr bwMode="auto">
          <a:xfrm>
            <a:off x="887" y="185"/>
            <a:ext cx="7"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365" y="0"/>
                </a:moveTo>
                <a:lnTo>
                  <a:pt x="0" y="550"/>
                </a:lnTo>
                <a:lnTo>
                  <a:pt x="0" y="1591"/>
                </a:lnTo>
                <a:lnTo>
                  <a:pt x="365" y="0"/>
                </a:lnTo>
                <a:close/>
              </a:path>
            </a:pathLst>
          </a:custGeom>
          <a:solidFill>
            <a:srgbClr val="000000"/>
          </a:solidFill>
          <a:ln w="12700">
            <a:solidFill>
              <a:srgbClr val="000000"/>
            </a:solidFill>
            <a:round/>
            <a:headEnd/>
            <a:tailEnd/>
          </a:ln>
        </xdr:spPr>
      </xdr:sp>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887" y="185"/>
            <a:ext cx="7"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365" y="0"/>
                </a:moveTo>
                <a:lnTo>
                  <a:pt x="0" y="550"/>
                </a:lnTo>
                <a:lnTo>
                  <a:pt x="0" y="1591"/>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4">
            <a:extLst>
              <a:ext uri="{FF2B5EF4-FFF2-40B4-BE49-F238E27FC236}">
                <a16:creationId xmlns:a16="http://schemas.microsoft.com/office/drawing/2014/main" id="{00000000-0008-0000-0100-000005000000}"/>
              </a:ext>
            </a:extLst>
          </xdr:cNvPr>
          <xdr:cNvSpPr>
            <a:spLocks/>
          </xdr:cNvSpPr>
        </xdr:nvSpPr>
        <xdr:spPr bwMode="auto">
          <a:xfrm>
            <a:off x="879" y="185"/>
            <a:ext cx="8"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0" y="0"/>
                </a:moveTo>
                <a:lnTo>
                  <a:pt x="365" y="1591"/>
                </a:lnTo>
                <a:lnTo>
                  <a:pt x="365" y="550"/>
                </a:lnTo>
                <a:lnTo>
                  <a:pt x="0" y="0"/>
                </a:lnTo>
                <a:close/>
              </a:path>
            </a:pathLst>
          </a:custGeom>
          <a:solidFill>
            <a:srgbClr val="000000"/>
          </a:solidFill>
          <a:ln w="12700">
            <a:solidFill>
              <a:srgbClr val="000000"/>
            </a:solidFill>
            <a:round/>
            <a:headEnd/>
            <a:tailEnd/>
          </a:ln>
        </xdr:spPr>
      </xdr:sp>
      <xdr:sp macro="" textlink="">
        <xdr:nvSpPr>
          <xdr:cNvPr id="6" name="Freeform 5">
            <a:extLst>
              <a:ext uri="{FF2B5EF4-FFF2-40B4-BE49-F238E27FC236}">
                <a16:creationId xmlns:a16="http://schemas.microsoft.com/office/drawing/2014/main" id="{00000000-0008-0000-0100-000006000000}"/>
              </a:ext>
            </a:extLst>
          </xdr:cNvPr>
          <xdr:cNvSpPr>
            <a:spLocks/>
          </xdr:cNvSpPr>
        </xdr:nvSpPr>
        <xdr:spPr bwMode="auto">
          <a:xfrm>
            <a:off x="879" y="185"/>
            <a:ext cx="8"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0" y="0"/>
                </a:moveTo>
                <a:lnTo>
                  <a:pt x="365" y="1591"/>
                </a:lnTo>
                <a:lnTo>
                  <a:pt x="365" y="55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6">
            <a:extLst>
              <a:ext uri="{FF2B5EF4-FFF2-40B4-BE49-F238E27FC236}">
                <a16:creationId xmlns:a16="http://schemas.microsoft.com/office/drawing/2014/main" id="{00000000-0008-0000-0100-000007000000}"/>
              </a:ext>
            </a:extLst>
          </xdr:cNvPr>
          <xdr:cNvSpPr>
            <a:spLocks/>
          </xdr:cNvSpPr>
        </xdr:nvSpPr>
        <xdr:spPr bwMode="auto">
          <a:xfrm>
            <a:off x="887" y="181"/>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72" y="0"/>
                </a:moveTo>
                <a:lnTo>
                  <a:pt x="0" y="746"/>
                </a:lnTo>
                <a:lnTo>
                  <a:pt x="365" y="196"/>
                </a:lnTo>
                <a:lnTo>
                  <a:pt x="172" y="0"/>
                </a:lnTo>
                <a:close/>
              </a:path>
            </a:pathLst>
          </a:custGeom>
          <a:solidFill>
            <a:srgbClr val="000000"/>
          </a:solidFill>
          <a:ln w="12700">
            <a:solidFill>
              <a:srgbClr val="000000"/>
            </a:solidFill>
            <a:round/>
            <a:headEnd/>
            <a:tailEnd/>
          </a:ln>
        </xdr:spPr>
      </xdr:sp>
      <xdr:sp macro="" textlink="">
        <xdr:nvSpPr>
          <xdr:cNvPr id="8" name="Freeform 7">
            <a:extLst>
              <a:ext uri="{FF2B5EF4-FFF2-40B4-BE49-F238E27FC236}">
                <a16:creationId xmlns:a16="http://schemas.microsoft.com/office/drawing/2014/main" id="{00000000-0008-0000-0100-000008000000}"/>
              </a:ext>
            </a:extLst>
          </xdr:cNvPr>
          <xdr:cNvSpPr>
            <a:spLocks/>
          </xdr:cNvSpPr>
        </xdr:nvSpPr>
        <xdr:spPr bwMode="auto">
          <a:xfrm>
            <a:off x="887" y="181"/>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72" y="0"/>
                </a:moveTo>
                <a:lnTo>
                  <a:pt x="0" y="746"/>
                </a:lnTo>
                <a:lnTo>
                  <a:pt x="365" y="196"/>
                </a:lnTo>
                <a:lnTo>
                  <a:pt x="17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8">
            <a:extLst>
              <a:ext uri="{FF2B5EF4-FFF2-40B4-BE49-F238E27FC236}">
                <a16:creationId xmlns:a16="http://schemas.microsoft.com/office/drawing/2014/main" id="{00000000-0008-0000-0100-000009000000}"/>
              </a:ext>
            </a:extLst>
          </xdr:cNvPr>
          <xdr:cNvSpPr>
            <a:spLocks/>
          </xdr:cNvSpPr>
        </xdr:nvSpPr>
        <xdr:spPr bwMode="auto">
          <a:xfrm>
            <a:off x="879" y="181"/>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95" y="0"/>
                </a:moveTo>
                <a:lnTo>
                  <a:pt x="0" y="196"/>
                </a:lnTo>
                <a:lnTo>
                  <a:pt x="365" y="746"/>
                </a:lnTo>
                <a:lnTo>
                  <a:pt x="195" y="0"/>
                </a:lnTo>
                <a:close/>
              </a:path>
            </a:pathLst>
          </a:custGeom>
          <a:solidFill>
            <a:srgbClr val="000000"/>
          </a:solidFill>
          <a:ln w="12700">
            <a:solidFill>
              <a:srgbClr val="000000"/>
            </a:solidFill>
            <a:round/>
            <a:headEnd/>
            <a:tailEnd/>
          </a:ln>
        </xdr:spPr>
      </xdr:sp>
      <xdr:sp macro="" textlink="">
        <xdr:nvSpPr>
          <xdr:cNvPr id="10" name="Freeform 9">
            <a:extLst>
              <a:ext uri="{FF2B5EF4-FFF2-40B4-BE49-F238E27FC236}">
                <a16:creationId xmlns:a16="http://schemas.microsoft.com/office/drawing/2014/main" id="{00000000-0008-0000-0100-00000A000000}"/>
              </a:ext>
            </a:extLst>
          </xdr:cNvPr>
          <xdr:cNvSpPr>
            <a:spLocks/>
          </xdr:cNvSpPr>
        </xdr:nvSpPr>
        <xdr:spPr bwMode="auto">
          <a:xfrm>
            <a:off x="879" y="181"/>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95" y="0"/>
                </a:moveTo>
                <a:lnTo>
                  <a:pt x="0" y="196"/>
                </a:lnTo>
                <a:lnTo>
                  <a:pt x="365" y="746"/>
                </a:lnTo>
                <a:lnTo>
                  <a:pt x="19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Freeform 10">
            <a:extLst>
              <a:ext uri="{FF2B5EF4-FFF2-40B4-BE49-F238E27FC236}">
                <a16:creationId xmlns:a16="http://schemas.microsoft.com/office/drawing/2014/main" id="{00000000-0008-0000-0100-00000B000000}"/>
              </a:ext>
            </a:extLst>
          </xdr:cNvPr>
          <xdr:cNvSpPr>
            <a:spLocks/>
          </xdr:cNvSpPr>
        </xdr:nvSpPr>
        <xdr:spPr bwMode="auto">
          <a:xfrm>
            <a:off x="890" y="178"/>
            <a:ext cx="37" cy="7"/>
          </a:xfrm>
          <a:custGeom>
            <a:avLst/>
            <a:gdLst>
              <a:gd name="T0" fmla="*/ 0 w 1776"/>
              <a:gd name="T1" fmla="*/ 0 h 368"/>
              <a:gd name="T2" fmla="*/ 0 w 1776"/>
              <a:gd name="T3" fmla="*/ 0 h 368"/>
              <a:gd name="T4" fmla="*/ 0 w 1776"/>
              <a:gd name="T5" fmla="*/ 0 h 368"/>
              <a:gd name="T6" fmla="*/ 0 w 1776"/>
              <a:gd name="T7" fmla="*/ 0 h 368"/>
              <a:gd name="T8" fmla="*/ 0 60000 65536"/>
              <a:gd name="T9" fmla="*/ 0 60000 65536"/>
              <a:gd name="T10" fmla="*/ 0 60000 65536"/>
              <a:gd name="T11" fmla="*/ 0 60000 65536"/>
              <a:gd name="T12" fmla="*/ 0 w 1776"/>
              <a:gd name="T13" fmla="*/ 0 h 368"/>
              <a:gd name="T14" fmla="*/ 1776 w 1776"/>
              <a:gd name="T15" fmla="*/ 368 h 368"/>
            </a:gdLst>
            <a:ahLst/>
            <a:cxnLst>
              <a:cxn ang="T8">
                <a:pos x="T0" y="T1"/>
              </a:cxn>
              <a:cxn ang="T9">
                <a:pos x="T2" y="T3"/>
              </a:cxn>
              <a:cxn ang="T10">
                <a:pos x="T4" y="T5"/>
              </a:cxn>
              <a:cxn ang="T11">
                <a:pos x="T6" y="T7"/>
              </a:cxn>
            </a:cxnLst>
            <a:rect l="T12" t="T13" r="T14" b="T15"/>
            <a:pathLst>
              <a:path w="1776" h="368">
                <a:moveTo>
                  <a:pt x="1776" y="0"/>
                </a:moveTo>
                <a:lnTo>
                  <a:pt x="0" y="172"/>
                </a:lnTo>
                <a:lnTo>
                  <a:pt x="193" y="368"/>
                </a:lnTo>
                <a:lnTo>
                  <a:pt x="1776" y="0"/>
                </a:lnTo>
                <a:close/>
              </a:path>
            </a:pathLst>
          </a:custGeom>
          <a:solidFill>
            <a:srgbClr val="000000"/>
          </a:solidFill>
          <a:ln w="12700">
            <a:solidFill>
              <a:srgbClr val="000000"/>
            </a:solidFill>
            <a:round/>
            <a:headEnd/>
            <a:tailEnd/>
          </a:ln>
        </xdr:spPr>
      </xdr:sp>
      <xdr:sp macro="" textlink="">
        <xdr:nvSpPr>
          <xdr:cNvPr id="12" name="Freeform 11">
            <a:extLst>
              <a:ext uri="{FF2B5EF4-FFF2-40B4-BE49-F238E27FC236}">
                <a16:creationId xmlns:a16="http://schemas.microsoft.com/office/drawing/2014/main" id="{00000000-0008-0000-0100-00000C000000}"/>
              </a:ext>
            </a:extLst>
          </xdr:cNvPr>
          <xdr:cNvSpPr>
            <a:spLocks/>
          </xdr:cNvSpPr>
        </xdr:nvSpPr>
        <xdr:spPr bwMode="auto">
          <a:xfrm>
            <a:off x="890" y="178"/>
            <a:ext cx="37" cy="7"/>
          </a:xfrm>
          <a:custGeom>
            <a:avLst/>
            <a:gdLst>
              <a:gd name="T0" fmla="*/ 0 w 1776"/>
              <a:gd name="T1" fmla="*/ 0 h 368"/>
              <a:gd name="T2" fmla="*/ 0 w 1776"/>
              <a:gd name="T3" fmla="*/ 0 h 368"/>
              <a:gd name="T4" fmla="*/ 0 w 1776"/>
              <a:gd name="T5" fmla="*/ 0 h 368"/>
              <a:gd name="T6" fmla="*/ 0 w 1776"/>
              <a:gd name="T7" fmla="*/ 0 h 368"/>
              <a:gd name="T8" fmla="*/ 0 60000 65536"/>
              <a:gd name="T9" fmla="*/ 0 60000 65536"/>
              <a:gd name="T10" fmla="*/ 0 60000 65536"/>
              <a:gd name="T11" fmla="*/ 0 60000 65536"/>
              <a:gd name="T12" fmla="*/ 0 w 1776"/>
              <a:gd name="T13" fmla="*/ 0 h 368"/>
              <a:gd name="T14" fmla="*/ 1776 w 1776"/>
              <a:gd name="T15" fmla="*/ 368 h 368"/>
            </a:gdLst>
            <a:ahLst/>
            <a:cxnLst>
              <a:cxn ang="T8">
                <a:pos x="T0" y="T1"/>
              </a:cxn>
              <a:cxn ang="T9">
                <a:pos x="T2" y="T3"/>
              </a:cxn>
              <a:cxn ang="T10">
                <a:pos x="T4" y="T5"/>
              </a:cxn>
              <a:cxn ang="T11">
                <a:pos x="T6" y="T7"/>
              </a:cxn>
            </a:cxnLst>
            <a:rect l="T12" t="T13" r="T14" b="T15"/>
            <a:pathLst>
              <a:path w="1776" h="368">
                <a:moveTo>
                  <a:pt x="1776" y="0"/>
                </a:moveTo>
                <a:lnTo>
                  <a:pt x="0" y="172"/>
                </a:lnTo>
                <a:lnTo>
                  <a:pt x="193" y="368"/>
                </a:lnTo>
                <a:lnTo>
                  <a:pt x="1776"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Freeform 12">
            <a:extLst>
              <a:ext uri="{FF2B5EF4-FFF2-40B4-BE49-F238E27FC236}">
                <a16:creationId xmlns:a16="http://schemas.microsoft.com/office/drawing/2014/main" id="{00000000-0008-0000-0100-00000D000000}"/>
              </a:ext>
            </a:extLst>
          </xdr:cNvPr>
          <xdr:cNvSpPr>
            <a:spLocks/>
          </xdr:cNvSpPr>
        </xdr:nvSpPr>
        <xdr:spPr bwMode="auto">
          <a:xfrm>
            <a:off x="890" y="178"/>
            <a:ext cx="37" cy="3"/>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742" y="0"/>
                </a:moveTo>
                <a:lnTo>
                  <a:pt x="0" y="172"/>
                </a:lnTo>
                <a:lnTo>
                  <a:pt x="1776" y="0"/>
                </a:lnTo>
                <a:lnTo>
                  <a:pt x="742" y="0"/>
                </a:lnTo>
                <a:close/>
              </a:path>
            </a:pathLst>
          </a:custGeom>
          <a:solidFill>
            <a:srgbClr val="000000"/>
          </a:solidFill>
          <a:ln w="12700">
            <a:solidFill>
              <a:srgbClr val="000000"/>
            </a:solidFill>
            <a:round/>
            <a:headEnd/>
            <a:tailEnd/>
          </a:ln>
        </xdr:spPr>
      </xdr:sp>
      <xdr:sp macro="" textlink="">
        <xdr:nvSpPr>
          <xdr:cNvPr id="14" name="Freeform 13">
            <a:extLst>
              <a:ext uri="{FF2B5EF4-FFF2-40B4-BE49-F238E27FC236}">
                <a16:creationId xmlns:a16="http://schemas.microsoft.com/office/drawing/2014/main" id="{00000000-0008-0000-0100-00000E000000}"/>
              </a:ext>
            </a:extLst>
          </xdr:cNvPr>
          <xdr:cNvSpPr>
            <a:spLocks/>
          </xdr:cNvSpPr>
        </xdr:nvSpPr>
        <xdr:spPr bwMode="auto">
          <a:xfrm>
            <a:off x="890" y="178"/>
            <a:ext cx="37" cy="3"/>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742" y="0"/>
                </a:moveTo>
                <a:lnTo>
                  <a:pt x="0" y="172"/>
                </a:lnTo>
                <a:lnTo>
                  <a:pt x="1776" y="0"/>
                </a:lnTo>
                <a:lnTo>
                  <a:pt x="74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Freeform 14">
            <a:extLst>
              <a:ext uri="{FF2B5EF4-FFF2-40B4-BE49-F238E27FC236}">
                <a16:creationId xmlns:a16="http://schemas.microsoft.com/office/drawing/2014/main" id="{00000000-0008-0000-0100-00000F000000}"/>
              </a:ext>
            </a:extLst>
          </xdr:cNvPr>
          <xdr:cNvSpPr>
            <a:spLocks/>
          </xdr:cNvSpPr>
        </xdr:nvSpPr>
        <xdr:spPr bwMode="auto">
          <a:xfrm>
            <a:off x="868" y="178"/>
            <a:ext cx="15" cy="7"/>
          </a:xfrm>
          <a:custGeom>
            <a:avLst/>
            <a:gdLst>
              <a:gd name="T0" fmla="*/ 0 w 743"/>
              <a:gd name="T1" fmla="*/ 0 h 368"/>
              <a:gd name="T2" fmla="*/ 0 w 743"/>
              <a:gd name="T3" fmla="*/ 0 h 368"/>
              <a:gd name="T4" fmla="*/ 0 w 743"/>
              <a:gd name="T5" fmla="*/ 0 h 368"/>
              <a:gd name="T6" fmla="*/ 0 w 743"/>
              <a:gd name="T7" fmla="*/ 0 h 368"/>
              <a:gd name="T8" fmla="*/ 0 60000 65536"/>
              <a:gd name="T9" fmla="*/ 0 60000 65536"/>
              <a:gd name="T10" fmla="*/ 0 60000 65536"/>
              <a:gd name="T11" fmla="*/ 0 60000 65536"/>
              <a:gd name="T12" fmla="*/ 0 w 743"/>
              <a:gd name="T13" fmla="*/ 0 h 368"/>
              <a:gd name="T14" fmla="*/ 743 w 743"/>
              <a:gd name="T15" fmla="*/ 368 h 368"/>
            </a:gdLst>
            <a:ahLst/>
            <a:cxnLst>
              <a:cxn ang="T8">
                <a:pos x="T0" y="T1"/>
              </a:cxn>
              <a:cxn ang="T9">
                <a:pos x="T2" y="T3"/>
              </a:cxn>
              <a:cxn ang="T10">
                <a:pos x="T4" y="T5"/>
              </a:cxn>
              <a:cxn ang="T11">
                <a:pos x="T6" y="T7"/>
              </a:cxn>
            </a:cxnLst>
            <a:rect l="T12" t="T13" r="T14" b="T15"/>
            <a:pathLst>
              <a:path w="743" h="368">
                <a:moveTo>
                  <a:pt x="0" y="0"/>
                </a:moveTo>
                <a:lnTo>
                  <a:pt x="548" y="368"/>
                </a:lnTo>
                <a:lnTo>
                  <a:pt x="743" y="172"/>
                </a:lnTo>
                <a:lnTo>
                  <a:pt x="0" y="0"/>
                </a:lnTo>
                <a:close/>
              </a:path>
            </a:pathLst>
          </a:custGeom>
          <a:solidFill>
            <a:srgbClr val="000000"/>
          </a:solidFill>
          <a:ln w="12700">
            <a:solidFill>
              <a:srgbClr val="000000"/>
            </a:solidFill>
            <a:round/>
            <a:headEnd/>
            <a:tailEnd/>
          </a:ln>
        </xdr:spPr>
      </xdr:sp>
      <xdr:sp macro="" textlink="">
        <xdr:nvSpPr>
          <xdr:cNvPr id="16" name="Freeform 15">
            <a:extLst>
              <a:ext uri="{FF2B5EF4-FFF2-40B4-BE49-F238E27FC236}">
                <a16:creationId xmlns:a16="http://schemas.microsoft.com/office/drawing/2014/main" id="{00000000-0008-0000-0100-000010000000}"/>
              </a:ext>
            </a:extLst>
          </xdr:cNvPr>
          <xdr:cNvSpPr>
            <a:spLocks/>
          </xdr:cNvSpPr>
        </xdr:nvSpPr>
        <xdr:spPr bwMode="auto">
          <a:xfrm>
            <a:off x="868" y="178"/>
            <a:ext cx="15" cy="7"/>
          </a:xfrm>
          <a:custGeom>
            <a:avLst/>
            <a:gdLst>
              <a:gd name="T0" fmla="*/ 0 w 743"/>
              <a:gd name="T1" fmla="*/ 0 h 368"/>
              <a:gd name="T2" fmla="*/ 0 w 743"/>
              <a:gd name="T3" fmla="*/ 0 h 368"/>
              <a:gd name="T4" fmla="*/ 0 w 743"/>
              <a:gd name="T5" fmla="*/ 0 h 368"/>
              <a:gd name="T6" fmla="*/ 0 w 743"/>
              <a:gd name="T7" fmla="*/ 0 h 368"/>
              <a:gd name="T8" fmla="*/ 0 60000 65536"/>
              <a:gd name="T9" fmla="*/ 0 60000 65536"/>
              <a:gd name="T10" fmla="*/ 0 60000 65536"/>
              <a:gd name="T11" fmla="*/ 0 60000 65536"/>
              <a:gd name="T12" fmla="*/ 0 w 743"/>
              <a:gd name="T13" fmla="*/ 0 h 368"/>
              <a:gd name="T14" fmla="*/ 743 w 743"/>
              <a:gd name="T15" fmla="*/ 368 h 368"/>
            </a:gdLst>
            <a:ahLst/>
            <a:cxnLst>
              <a:cxn ang="T8">
                <a:pos x="T0" y="T1"/>
              </a:cxn>
              <a:cxn ang="T9">
                <a:pos x="T2" y="T3"/>
              </a:cxn>
              <a:cxn ang="T10">
                <a:pos x="T4" y="T5"/>
              </a:cxn>
              <a:cxn ang="T11">
                <a:pos x="T6" y="T7"/>
              </a:cxn>
            </a:cxnLst>
            <a:rect l="T12" t="T13" r="T14" b="T15"/>
            <a:pathLst>
              <a:path w="743" h="368">
                <a:moveTo>
                  <a:pt x="0" y="0"/>
                </a:moveTo>
                <a:lnTo>
                  <a:pt x="548" y="368"/>
                </a:lnTo>
                <a:lnTo>
                  <a:pt x="743" y="17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Freeform 16">
            <a:extLst>
              <a:ext uri="{FF2B5EF4-FFF2-40B4-BE49-F238E27FC236}">
                <a16:creationId xmlns:a16="http://schemas.microsoft.com/office/drawing/2014/main" id="{00000000-0008-0000-0100-000011000000}"/>
              </a:ext>
            </a:extLst>
          </xdr:cNvPr>
          <xdr:cNvSpPr>
            <a:spLocks/>
          </xdr:cNvSpPr>
        </xdr:nvSpPr>
        <xdr:spPr bwMode="auto">
          <a:xfrm>
            <a:off x="847" y="178"/>
            <a:ext cx="32" cy="7"/>
          </a:xfrm>
          <a:custGeom>
            <a:avLst/>
            <a:gdLst>
              <a:gd name="T0" fmla="*/ 0 w 1582"/>
              <a:gd name="T1" fmla="*/ 0 h 368"/>
              <a:gd name="T2" fmla="*/ 0 w 1582"/>
              <a:gd name="T3" fmla="*/ 0 h 368"/>
              <a:gd name="T4" fmla="*/ 0 w 1582"/>
              <a:gd name="T5" fmla="*/ 0 h 368"/>
              <a:gd name="T6" fmla="*/ 0 w 1582"/>
              <a:gd name="T7" fmla="*/ 0 h 368"/>
              <a:gd name="T8" fmla="*/ 0 60000 65536"/>
              <a:gd name="T9" fmla="*/ 0 60000 65536"/>
              <a:gd name="T10" fmla="*/ 0 60000 65536"/>
              <a:gd name="T11" fmla="*/ 0 60000 65536"/>
              <a:gd name="T12" fmla="*/ 0 w 1582"/>
              <a:gd name="T13" fmla="*/ 0 h 368"/>
              <a:gd name="T14" fmla="*/ 1582 w 1582"/>
              <a:gd name="T15" fmla="*/ 368 h 368"/>
            </a:gdLst>
            <a:ahLst/>
            <a:cxnLst>
              <a:cxn ang="T8">
                <a:pos x="T0" y="T1"/>
              </a:cxn>
              <a:cxn ang="T9">
                <a:pos x="T2" y="T3"/>
              </a:cxn>
              <a:cxn ang="T10">
                <a:pos x="T4" y="T5"/>
              </a:cxn>
              <a:cxn ang="T11">
                <a:pos x="T6" y="T7"/>
              </a:cxn>
            </a:cxnLst>
            <a:rect l="T12" t="T13" r="T14" b="T15"/>
            <a:pathLst>
              <a:path w="1582" h="368">
                <a:moveTo>
                  <a:pt x="0" y="0"/>
                </a:moveTo>
                <a:lnTo>
                  <a:pt x="1582" y="368"/>
                </a:lnTo>
                <a:lnTo>
                  <a:pt x="1034" y="0"/>
                </a:lnTo>
                <a:lnTo>
                  <a:pt x="0" y="0"/>
                </a:lnTo>
                <a:close/>
              </a:path>
            </a:pathLst>
          </a:custGeom>
          <a:solidFill>
            <a:srgbClr val="000000"/>
          </a:solidFill>
          <a:ln w="12700">
            <a:solidFill>
              <a:srgbClr val="000000"/>
            </a:solidFill>
            <a:round/>
            <a:headEnd/>
            <a:tailEnd/>
          </a:ln>
        </xdr:spPr>
      </xdr:sp>
      <xdr:sp macro="" textlink="">
        <xdr:nvSpPr>
          <xdr:cNvPr id="18" name="Freeform 17">
            <a:extLst>
              <a:ext uri="{FF2B5EF4-FFF2-40B4-BE49-F238E27FC236}">
                <a16:creationId xmlns:a16="http://schemas.microsoft.com/office/drawing/2014/main" id="{00000000-0008-0000-0100-000012000000}"/>
              </a:ext>
            </a:extLst>
          </xdr:cNvPr>
          <xdr:cNvSpPr>
            <a:spLocks/>
          </xdr:cNvSpPr>
        </xdr:nvSpPr>
        <xdr:spPr bwMode="auto">
          <a:xfrm>
            <a:off x="847" y="178"/>
            <a:ext cx="32" cy="7"/>
          </a:xfrm>
          <a:custGeom>
            <a:avLst/>
            <a:gdLst>
              <a:gd name="T0" fmla="*/ 0 w 1582"/>
              <a:gd name="T1" fmla="*/ 0 h 368"/>
              <a:gd name="T2" fmla="*/ 0 w 1582"/>
              <a:gd name="T3" fmla="*/ 0 h 368"/>
              <a:gd name="T4" fmla="*/ 0 w 1582"/>
              <a:gd name="T5" fmla="*/ 0 h 368"/>
              <a:gd name="T6" fmla="*/ 0 w 1582"/>
              <a:gd name="T7" fmla="*/ 0 h 368"/>
              <a:gd name="T8" fmla="*/ 0 60000 65536"/>
              <a:gd name="T9" fmla="*/ 0 60000 65536"/>
              <a:gd name="T10" fmla="*/ 0 60000 65536"/>
              <a:gd name="T11" fmla="*/ 0 60000 65536"/>
              <a:gd name="T12" fmla="*/ 0 w 1582"/>
              <a:gd name="T13" fmla="*/ 0 h 368"/>
              <a:gd name="T14" fmla="*/ 1582 w 1582"/>
              <a:gd name="T15" fmla="*/ 368 h 368"/>
            </a:gdLst>
            <a:ahLst/>
            <a:cxnLst>
              <a:cxn ang="T8">
                <a:pos x="T0" y="T1"/>
              </a:cxn>
              <a:cxn ang="T9">
                <a:pos x="T2" y="T3"/>
              </a:cxn>
              <a:cxn ang="T10">
                <a:pos x="T4" y="T5"/>
              </a:cxn>
              <a:cxn ang="T11">
                <a:pos x="T6" y="T7"/>
              </a:cxn>
            </a:cxnLst>
            <a:rect l="T12" t="T13" r="T14" b="T15"/>
            <a:pathLst>
              <a:path w="1582" h="368">
                <a:moveTo>
                  <a:pt x="0" y="0"/>
                </a:moveTo>
                <a:lnTo>
                  <a:pt x="1582" y="368"/>
                </a:lnTo>
                <a:lnTo>
                  <a:pt x="1034" y="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18">
            <a:extLst>
              <a:ext uri="{FF2B5EF4-FFF2-40B4-BE49-F238E27FC236}">
                <a16:creationId xmlns:a16="http://schemas.microsoft.com/office/drawing/2014/main" id="{00000000-0008-0000-0100-000013000000}"/>
              </a:ext>
            </a:extLst>
          </xdr:cNvPr>
          <xdr:cNvSpPr>
            <a:spLocks/>
          </xdr:cNvSpPr>
        </xdr:nvSpPr>
        <xdr:spPr bwMode="auto">
          <a:xfrm>
            <a:off x="890" y="174"/>
            <a:ext cx="37" cy="4"/>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0" y="0"/>
                </a:moveTo>
                <a:lnTo>
                  <a:pt x="742" y="172"/>
                </a:lnTo>
                <a:lnTo>
                  <a:pt x="1776" y="172"/>
                </a:lnTo>
                <a:lnTo>
                  <a:pt x="0" y="0"/>
                </a:lnTo>
                <a:close/>
              </a:path>
            </a:pathLst>
          </a:custGeom>
          <a:solidFill>
            <a:srgbClr val="000000"/>
          </a:solidFill>
          <a:ln w="12700">
            <a:solidFill>
              <a:srgbClr val="000000"/>
            </a:solidFill>
            <a:round/>
            <a:headEnd/>
            <a:tailEnd/>
          </a:ln>
        </xdr:spPr>
      </xdr:sp>
      <xdr:sp macro="" textlink="">
        <xdr:nvSpPr>
          <xdr:cNvPr id="20" name="Freeform 19">
            <a:extLst>
              <a:ext uri="{FF2B5EF4-FFF2-40B4-BE49-F238E27FC236}">
                <a16:creationId xmlns:a16="http://schemas.microsoft.com/office/drawing/2014/main" id="{00000000-0008-0000-0100-000014000000}"/>
              </a:ext>
            </a:extLst>
          </xdr:cNvPr>
          <xdr:cNvSpPr>
            <a:spLocks/>
          </xdr:cNvSpPr>
        </xdr:nvSpPr>
        <xdr:spPr bwMode="auto">
          <a:xfrm>
            <a:off x="890" y="174"/>
            <a:ext cx="37" cy="4"/>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0" y="0"/>
                </a:moveTo>
                <a:lnTo>
                  <a:pt x="742" y="172"/>
                </a:lnTo>
                <a:lnTo>
                  <a:pt x="1776" y="17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Freeform 20">
            <a:extLst>
              <a:ext uri="{FF2B5EF4-FFF2-40B4-BE49-F238E27FC236}">
                <a16:creationId xmlns:a16="http://schemas.microsoft.com/office/drawing/2014/main" id="{00000000-0008-0000-0100-000015000000}"/>
              </a:ext>
            </a:extLst>
          </xdr:cNvPr>
          <xdr:cNvSpPr>
            <a:spLocks/>
          </xdr:cNvSpPr>
        </xdr:nvSpPr>
        <xdr:spPr bwMode="auto">
          <a:xfrm>
            <a:off x="847" y="174"/>
            <a:ext cx="36" cy="4"/>
          </a:xfrm>
          <a:custGeom>
            <a:avLst/>
            <a:gdLst>
              <a:gd name="T0" fmla="*/ 0 w 1777"/>
              <a:gd name="T1" fmla="*/ 0 h 172"/>
              <a:gd name="T2" fmla="*/ 0 w 1777"/>
              <a:gd name="T3" fmla="*/ 0 h 172"/>
              <a:gd name="T4" fmla="*/ 0 w 1777"/>
              <a:gd name="T5" fmla="*/ 0 h 172"/>
              <a:gd name="T6" fmla="*/ 0 w 1777"/>
              <a:gd name="T7" fmla="*/ 0 h 172"/>
              <a:gd name="T8" fmla="*/ 0 60000 65536"/>
              <a:gd name="T9" fmla="*/ 0 60000 65536"/>
              <a:gd name="T10" fmla="*/ 0 60000 65536"/>
              <a:gd name="T11" fmla="*/ 0 60000 65536"/>
              <a:gd name="T12" fmla="*/ 0 w 1777"/>
              <a:gd name="T13" fmla="*/ 0 h 172"/>
              <a:gd name="T14" fmla="*/ 1777 w 1777"/>
              <a:gd name="T15" fmla="*/ 172 h 172"/>
            </a:gdLst>
            <a:ahLst/>
            <a:cxnLst>
              <a:cxn ang="T8">
                <a:pos x="T0" y="T1"/>
              </a:cxn>
              <a:cxn ang="T9">
                <a:pos x="T2" y="T3"/>
              </a:cxn>
              <a:cxn ang="T10">
                <a:pos x="T4" y="T5"/>
              </a:cxn>
              <a:cxn ang="T11">
                <a:pos x="T6" y="T7"/>
              </a:cxn>
            </a:cxnLst>
            <a:rect l="T12" t="T13" r="T14" b="T15"/>
            <a:pathLst>
              <a:path w="1777" h="172">
                <a:moveTo>
                  <a:pt x="1777" y="0"/>
                </a:moveTo>
                <a:lnTo>
                  <a:pt x="0" y="172"/>
                </a:lnTo>
                <a:lnTo>
                  <a:pt x="1034" y="172"/>
                </a:lnTo>
                <a:lnTo>
                  <a:pt x="1777" y="0"/>
                </a:lnTo>
                <a:close/>
              </a:path>
            </a:pathLst>
          </a:custGeom>
          <a:solidFill>
            <a:srgbClr val="000000"/>
          </a:solidFill>
          <a:ln w="12700">
            <a:solidFill>
              <a:srgbClr val="000000"/>
            </a:solidFill>
            <a:round/>
            <a:headEnd/>
            <a:tailEnd/>
          </a:ln>
        </xdr:spPr>
      </xdr:sp>
      <xdr:sp macro="" textlink="">
        <xdr:nvSpPr>
          <xdr:cNvPr id="22" name="Freeform 21">
            <a:extLst>
              <a:ext uri="{FF2B5EF4-FFF2-40B4-BE49-F238E27FC236}">
                <a16:creationId xmlns:a16="http://schemas.microsoft.com/office/drawing/2014/main" id="{00000000-0008-0000-0100-000016000000}"/>
              </a:ext>
            </a:extLst>
          </xdr:cNvPr>
          <xdr:cNvSpPr>
            <a:spLocks/>
          </xdr:cNvSpPr>
        </xdr:nvSpPr>
        <xdr:spPr bwMode="auto">
          <a:xfrm>
            <a:off x="847" y="174"/>
            <a:ext cx="36" cy="4"/>
          </a:xfrm>
          <a:custGeom>
            <a:avLst/>
            <a:gdLst>
              <a:gd name="T0" fmla="*/ 0 w 1777"/>
              <a:gd name="T1" fmla="*/ 0 h 172"/>
              <a:gd name="T2" fmla="*/ 0 w 1777"/>
              <a:gd name="T3" fmla="*/ 0 h 172"/>
              <a:gd name="T4" fmla="*/ 0 w 1777"/>
              <a:gd name="T5" fmla="*/ 0 h 172"/>
              <a:gd name="T6" fmla="*/ 0 w 1777"/>
              <a:gd name="T7" fmla="*/ 0 h 172"/>
              <a:gd name="T8" fmla="*/ 0 60000 65536"/>
              <a:gd name="T9" fmla="*/ 0 60000 65536"/>
              <a:gd name="T10" fmla="*/ 0 60000 65536"/>
              <a:gd name="T11" fmla="*/ 0 60000 65536"/>
              <a:gd name="T12" fmla="*/ 0 w 1777"/>
              <a:gd name="T13" fmla="*/ 0 h 172"/>
              <a:gd name="T14" fmla="*/ 1777 w 1777"/>
              <a:gd name="T15" fmla="*/ 172 h 172"/>
            </a:gdLst>
            <a:ahLst/>
            <a:cxnLst>
              <a:cxn ang="T8">
                <a:pos x="T0" y="T1"/>
              </a:cxn>
              <a:cxn ang="T9">
                <a:pos x="T2" y="T3"/>
              </a:cxn>
              <a:cxn ang="T10">
                <a:pos x="T4" y="T5"/>
              </a:cxn>
              <a:cxn ang="T11">
                <a:pos x="T6" y="T7"/>
              </a:cxn>
            </a:cxnLst>
            <a:rect l="T12" t="T13" r="T14" b="T15"/>
            <a:pathLst>
              <a:path w="1777" h="172">
                <a:moveTo>
                  <a:pt x="1777" y="0"/>
                </a:moveTo>
                <a:lnTo>
                  <a:pt x="0" y="172"/>
                </a:lnTo>
                <a:lnTo>
                  <a:pt x="1034" y="172"/>
                </a:lnTo>
                <a:lnTo>
                  <a:pt x="1777"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Freeform 22">
            <a:extLst>
              <a:ext uri="{FF2B5EF4-FFF2-40B4-BE49-F238E27FC236}">
                <a16:creationId xmlns:a16="http://schemas.microsoft.com/office/drawing/2014/main" id="{00000000-0008-0000-0100-000017000000}"/>
              </a:ext>
            </a:extLst>
          </xdr:cNvPr>
          <xdr:cNvSpPr>
            <a:spLocks/>
          </xdr:cNvSpPr>
        </xdr:nvSpPr>
        <xdr:spPr bwMode="auto">
          <a:xfrm>
            <a:off x="890" y="170"/>
            <a:ext cx="37" cy="8"/>
          </a:xfrm>
          <a:custGeom>
            <a:avLst/>
            <a:gdLst>
              <a:gd name="T0" fmla="*/ 0 w 1776"/>
              <a:gd name="T1" fmla="*/ 0 h 367"/>
              <a:gd name="T2" fmla="*/ 0 w 1776"/>
              <a:gd name="T3" fmla="*/ 0 h 367"/>
              <a:gd name="T4" fmla="*/ 0 w 1776"/>
              <a:gd name="T5" fmla="*/ 0 h 367"/>
              <a:gd name="T6" fmla="*/ 0 w 1776"/>
              <a:gd name="T7" fmla="*/ 0 h 367"/>
              <a:gd name="T8" fmla="*/ 0 60000 65536"/>
              <a:gd name="T9" fmla="*/ 0 60000 65536"/>
              <a:gd name="T10" fmla="*/ 0 60000 65536"/>
              <a:gd name="T11" fmla="*/ 0 60000 65536"/>
              <a:gd name="T12" fmla="*/ 0 w 1776"/>
              <a:gd name="T13" fmla="*/ 0 h 367"/>
              <a:gd name="T14" fmla="*/ 1776 w 1776"/>
              <a:gd name="T15" fmla="*/ 367 h 367"/>
            </a:gdLst>
            <a:ahLst/>
            <a:cxnLst>
              <a:cxn ang="T8">
                <a:pos x="T0" y="T1"/>
              </a:cxn>
              <a:cxn ang="T9">
                <a:pos x="T2" y="T3"/>
              </a:cxn>
              <a:cxn ang="T10">
                <a:pos x="T4" y="T5"/>
              </a:cxn>
              <a:cxn ang="T11">
                <a:pos x="T6" y="T7"/>
              </a:cxn>
            </a:cxnLst>
            <a:rect l="T12" t="T13" r="T14" b="T15"/>
            <a:pathLst>
              <a:path w="1776" h="367">
                <a:moveTo>
                  <a:pt x="193" y="0"/>
                </a:moveTo>
                <a:lnTo>
                  <a:pt x="0" y="195"/>
                </a:lnTo>
                <a:lnTo>
                  <a:pt x="1776" y="367"/>
                </a:lnTo>
                <a:lnTo>
                  <a:pt x="193" y="0"/>
                </a:lnTo>
                <a:close/>
              </a:path>
            </a:pathLst>
          </a:custGeom>
          <a:solidFill>
            <a:srgbClr val="000000"/>
          </a:solidFill>
          <a:ln w="12700">
            <a:solidFill>
              <a:srgbClr val="000000"/>
            </a:solidFill>
            <a:round/>
            <a:headEnd/>
            <a:tailEnd/>
          </a:ln>
        </xdr:spPr>
      </xdr:sp>
      <xdr:sp macro="" textlink="">
        <xdr:nvSpPr>
          <xdr:cNvPr id="24" name="Freeform 23">
            <a:extLst>
              <a:ext uri="{FF2B5EF4-FFF2-40B4-BE49-F238E27FC236}">
                <a16:creationId xmlns:a16="http://schemas.microsoft.com/office/drawing/2014/main" id="{00000000-0008-0000-0100-000018000000}"/>
              </a:ext>
            </a:extLst>
          </xdr:cNvPr>
          <xdr:cNvSpPr>
            <a:spLocks/>
          </xdr:cNvSpPr>
        </xdr:nvSpPr>
        <xdr:spPr bwMode="auto">
          <a:xfrm>
            <a:off x="890" y="170"/>
            <a:ext cx="37" cy="8"/>
          </a:xfrm>
          <a:custGeom>
            <a:avLst/>
            <a:gdLst>
              <a:gd name="T0" fmla="*/ 0 w 1776"/>
              <a:gd name="T1" fmla="*/ 0 h 367"/>
              <a:gd name="T2" fmla="*/ 0 w 1776"/>
              <a:gd name="T3" fmla="*/ 0 h 367"/>
              <a:gd name="T4" fmla="*/ 0 w 1776"/>
              <a:gd name="T5" fmla="*/ 0 h 367"/>
              <a:gd name="T6" fmla="*/ 0 w 1776"/>
              <a:gd name="T7" fmla="*/ 0 h 367"/>
              <a:gd name="T8" fmla="*/ 0 60000 65536"/>
              <a:gd name="T9" fmla="*/ 0 60000 65536"/>
              <a:gd name="T10" fmla="*/ 0 60000 65536"/>
              <a:gd name="T11" fmla="*/ 0 60000 65536"/>
              <a:gd name="T12" fmla="*/ 0 w 1776"/>
              <a:gd name="T13" fmla="*/ 0 h 367"/>
              <a:gd name="T14" fmla="*/ 1776 w 1776"/>
              <a:gd name="T15" fmla="*/ 367 h 367"/>
            </a:gdLst>
            <a:ahLst/>
            <a:cxnLst>
              <a:cxn ang="T8">
                <a:pos x="T0" y="T1"/>
              </a:cxn>
              <a:cxn ang="T9">
                <a:pos x="T2" y="T3"/>
              </a:cxn>
              <a:cxn ang="T10">
                <a:pos x="T4" y="T5"/>
              </a:cxn>
              <a:cxn ang="T11">
                <a:pos x="T6" y="T7"/>
              </a:cxn>
            </a:cxnLst>
            <a:rect l="T12" t="T13" r="T14" b="T15"/>
            <a:pathLst>
              <a:path w="1776" h="367">
                <a:moveTo>
                  <a:pt x="193" y="0"/>
                </a:moveTo>
                <a:lnTo>
                  <a:pt x="0" y="195"/>
                </a:lnTo>
                <a:lnTo>
                  <a:pt x="1776" y="367"/>
                </a:lnTo>
                <a:lnTo>
                  <a:pt x="193"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Freeform 24">
            <a:extLst>
              <a:ext uri="{FF2B5EF4-FFF2-40B4-BE49-F238E27FC236}">
                <a16:creationId xmlns:a16="http://schemas.microsoft.com/office/drawing/2014/main" id="{00000000-0008-0000-0100-000019000000}"/>
              </a:ext>
            </a:extLst>
          </xdr:cNvPr>
          <xdr:cNvSpPr>
            <a:spLocks/>
          </xdr:cNvSpPr>
        </xdr:nvSpPr>
        <xdr:spPr bwMode="auto">
          <a:xfrm>
            <a:off x="847" y="170"/>
            <a:ext cx="36" cy="8"/>
          </a:xfrm>
          <a:custGeom>
            <a:avLst/>
            <a:gdLst>
              <a:gd name="T0" fmla="*/ 0 w 1777"/>
              <a:gd name="T1" fmla="*/ 0 h 367"/>
              <a:gd name="T2" fmla="*/ 0 w 1777"/>
              <a:gd name="T3" fmla="*/ 0 h 367"/>
              <a:gd name="T4" fmla="*/ 0 w 1777"/>
              <a:gd name="T5" fmla="*/ 0 h 367"/>
              <a:gd name="T6" fmla="*/ 0 w 1777"/>
              <a:gd name="T7" fmla="*/ 0 h 367"/>
              <a:gd name="T8" fmla="*/ 0 60000 65536"/>
              <a:gd name="T9" fmla="*/ 0 60000 65536"/>
              <a:gd name="T10" fmla="*/ 0 60000 65536"/>
              <a:gd name="T11" fmla="*/ 0 60000 65536"/>
              <a:gd name="T12" fmla="*/ 0 w 1777"/>
              <a:gd name="T13" fmla="*/ 0 h 367"/>
              <a:gd name="T14" fmla="*/ 1777 w 1777"/>
              <a:gd name="T15" fmla="*/ 367 h 367"/>
            </a:gdLst>
            <a:ahLst/>
            <a:cxnLst>
              <a:cxn ang="T8">
                <a:pos x="T0" y="T1"/>
              </a:cxn>
              <a:cxn ang="T9">
                <a:pos x="T2" y="T3"/>
              </a:cxn>
              <a:cxn ang="T10">
                <a:pos x="T4" y="T5"/>
              </a:cxn>
              <a:cxn ang="T11">
                <a:pos x="T6" y="T7"/>
              </a:cxn>
            </a:cxnLst>
            <a:rect l="T12" t="T13" r="T14" b="T15"/>
            <a:pathLst>
              <a:path w="1777" h="367">
                <a:moveTo>
                  <a:pt x="1582" y="0"/>
                </a:moveTo>
                <a:lnTo>
                  <a:pt x="0" y="367"/>
                </a:lnTo>
                <a:lnTo>
                  <a:pt x="1777" y="195"/>
                </a:lnTo>
                <a:lnTo>
                  <a:pt x="1582" y="0"/>
                </a:lnTo>
                <a:close/>
              </a:path>
            </a:pathLst>
          </a:custGeom>
          <a:solidFill>
            <a:srgbClr val="000000"/>
          </a:solidFill>
          <a:ln w="12700">
            <a:solidFill>
              <a:srgbClr val="000000"/>
            </a:solidFill>
            <a:round/>
            <a:headEnd/>
            <a:tailEnd/>
          </a:ln>
        </xdr:spPr>
      </xdr:sp>
      <xdr:sp macro="" textlink="">
        <xdr:nvSpPr>
          <xdr:cNvPr id="26" name="Freeform 25">
            <a:extLst>
              <a:ext uri="{FF2B5EF4-FFF2-40B4-BE49-F238E27FC236}">
                <a16:creationId xmlns:a16="http://schemas.microsoft.com/office/drawing/2014/main" id="{00000000-0008-0000-0100-00001A000000}"/>
              </a:ext>
            </a:extLst>
          </xdr:cNvPr>
          <xdr:cNvSpPr>
            <a:spLocks/>
          </xdr:cNvSpPr>
        </xdr:nvSpPr>
        <xdr:spPr bwMode="auto">
          <a:xfrm>
            <a:off x="847" y="170"/>
            <a:ext cx="36" cy="8"/>
          </a:xfrm>
          <a:custGeom>
            <a:avLst/>
            <a:gdLst>
              <a:gd name="T0" fmla="*/ 0 w 1777"/>
              <a:gd name="T1" fmla="*/ 0 h 367"/>
              <a:gd name="T2" fmla="*/ 0 w 1777"/>
              <a:gd name="T3" fmla="*/ 0 h 367"/>
              <a:gd name="T4" fmla="*/ 0 w 1777"/>
              <a:gd name="T5" fmla="*/ 0 h 367"/>
              <a:gd name="T6" fmla="*/ 0 w 1777"/>
              <a:gd name="T7" fmla="*/ 0 h 367"/>
              <a:gd name="T8" fmla="*/ 0 60000 65536"/>
              <a:gd name="T9" fmla="*/ 0 60000 65536"/>
              <a:gd name="T10" fmla="*/ 0 60000 65536"/>
              <a:gd name="T11" fmla="*/ 0 60000 65536"/>
              <a:gd name="T12" fmla="*/ 0 w 1777"/>
              <a:gd name="T13" fmla="*/ 0 h 367"/>
              <a:gd name="T14" fmla="*/ 1777 w 1777"/>
              <a:gd name="T15" fmla="*/ 367 h 367"/>
            </a:gdLst>
            <a:ahLst/>
            <a:cxnLst>
              <a:cxn ang="T8">
                <a:pos x="T0" y="T1"/>
              </a:cxn>
              <a:cxn ang="T9">
                <a:pos x="T2" y="T3"/>
              </a:cxn>
              <a:cxn ang="T10">
                <a:pos x="T4" y="T5"/>
              </a:cxn>
              <a:cxn ang="T11">
                <a:pos x="T6" y="T7"/>
              </a:cxn>
            </a:cxnLst>
            <a:rect l="T12" t="T13" r="T14" b="T15"/>
            <a:pathLst>
              <a:path w="1777" h="367">
                <a:moveTo>
                  <a:pt x="1582" y="0"/>
                </a:moveTo>
                <a:lnTo>
                  <a:pt x="0" y="367"/>
                </a:lnTo>
                <a:lnTo>
                  <a:pt x="1777" y="195"/>
                </a:lnTo>
                <a:lnTo>
                  <a:pt x="158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 name="Freeform 26">
            <a:extLst>
              <a:ext uri="{FF2B5EF4-FFF2-40B4-BE49-F238E27FC236}">
                <a16:creationId xmlns:a16="http://schemas.microsoft.com/office/drawing/2014/main" id="{00000000-0008-0000-0100-00001B000000}"/>
              </a:ext>
            </a:extLst>
          </xdr:cNvPr>
          <xdr:cNvSpPr>
            <a:spLocks/>
          </xdr:cNvSpPr>
        </xdr:nvSpPr>
        <xdr:spPr bwMode="auto">
          <a:xfrm>
            <a:off x="879" y="159"/>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365" y="0"/>
                </a:moveTo>
                <a:lnTo>
                  <a:pt x="0" y="551"/>
                </a:lnTo>
                <a:lnTo>
                  <a:pt x="195" y="746"/>
                </a:lnTo>
                <a:lnTo>
                  <a:pt x="365" y="0"/>
                </a:lnTo>
                <a:close/>
              </a:path>
            </a:pathLst>
          </a:custGeom>
          <a:solidFill>
            <a:srgbClr val="000000"/>
          </a:solidFill>
          <a:ln w="12700">
            <a:solidFill>
              <a:srgbClr val="000000"/>
            </a:solidFill>
            <a:round/>
            <a:headEnd/>
            <a:tailEnd/>
          </a:ln>
        </xdr:spPr>
      </xdr:sp>
      <xdr:sp macro="" textlink="">
        <xdr:nvSpPr>
          <xdr:cNvPr id="28" name="Freeform 27">
            <a:extLst>
              <a:ext uri="{FF2B5EF4-FFF2-40B4-BE49-F238E27FC236}">
                <a16:creationId xmlns:a16="http://schemas.microsoft.com/office/drawing/2014/main" id="{00000000-0008-0000-0100-00001C000000}"/>
              </a:ext>
            </a:extLst>
          </xdr:cNvPr>
          <xdr:cNvSpPr>
            <a:spLocks/>
          </xdr:cNvSpPr>
        </xdr:nvSpPr>
        <xdr:spPr bwMode="auto">
          <a:xfrm>
            <a:off x="879" y="159"/>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365" y="0"/>
                </a:moveTo>
                <a:lnTo>
                  <a:pt x="0" y="551"/>
                </a:lnTo>
                <a:lnTo>
                  <a:pt x="195" y="746"/>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Freeform 28">
            <a:extLst>
              <a:ext uri="{FF2B5EF4-FFF2-40B4-BE49-F238E27FC236}">
                <a16:creationId xmlns:a16="http://schemas.microsoft.com/office/drawing/2014/main" id="{00000000-0008-0000-0100-00001D000000}"/>
              </a:ext>
            </a:extLst>
          </xdr:cNvPr>
          <xdr:cNvSpPr>
            <a:spLocks/>
          </xdr:cNvSpPr>
        </xdr:nvSpPr>
        <xdr:spPr bwMode="auto">
          <a:xfrm>
            <a:off x="887" y="159"/>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0" y="0"/>
                </a:moveTo>
                <a:lnTo>
                  <a:pt x="172" y="746"/>
                </a:lnTo>
                <a:lnTo>
                  <a:pt x="365" y="551"/>
                </a:lnTo>
                <a:lnTo>
                  <a:pt x="0" y="0"/>
                </a:lnTo>
                <a:close/>
              </a:path>
            </a:pathLst>
          </a:custGeom>
          <a:solidFill>
            <a:srgbClr val="000000"/>
          </a:solidFill>
          <a:ln w="12700">
            <a:solidFill>
              <a:srgbClr val="000000"/>
            </a:solidFill>
            <a:round/>
            <a:headEnd/>
            <a:tailEnd/>
          </a:ln>
        </xdr:spPr>
      </xdr:sp>
      <xdr:sp macro="" textlink="">
        <xdr:nvSpPr>
          <xdr:cNvPr id="30" name="Freeform 29">
            <a:extLst>
              <a:ext uri="{FF2B5EF4-FFF2-40B4-BE49-F238E27FC236}">
                <a16:creationId xmlns:a16="http://schemas.microsoft.com/office/drawing/2014/main" id="{00000000-0008-0000-0100-00001E000000}"/>
              </a:ext>
            </a:extLst>
          </xdr:cNvPr>
          <xdr:cNvSpPr>
            <a:spLocks/>
          </xdr:cNvSpPr>
        </xdr:nvSpPr>
        <xdr:spPr bwMode="auto">
          <a:xfrm>
            <a:off x="887" y="159"/>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0" y="0"/>
                </a:moveTo>
                <a:lnTo>
                  <a:pt x="172" y="746"/>
                </a:lnTo>
                <a:lnTo>
                  <a:pt x="365" y="551"/>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1" name="Freeform 30">
            <a:extLst>
              <a:ext uri="{FF2B5EF4-FFF2-40B4-BE49-F238E27FC236}">
                <a16:creationId xmlns:a16="http://schemas.microsoft.com/office/drawing/2014/main" id="{00000000-0008-0000-0100-00001F000000}"/>
              </a:ext>
            </a:extLst>
          </xdr:cNvPr>
          <xdr:cNvSpPr>
            <a:spLocks/>
          </xdr:cNvSpPr>
        </xdr:nvSpPr>
        <xdr:spPr bwMode="auto">
          <a:xfrm>
            <a:off x="879" y="138"/>
            <a:ext cx="8"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365" y="0"/>
                </a:moveTo>
                <a:lnTo>
                  <a:pt x="0" y="1590"/>
                </a:lnTo>
                <a:lnTo>
                  <a:pt x="365" y="1039"/>
                </a:lnTo>
                <a:lnTo>
                  <a:pt x="365" y="0"/>
                </a:lnTo>
                <a:close/>
              </a:path>
            </a:pathLst>
          </a:custGeom>
          <a:solidFill>
            <a:srgbClr val="000000"/>
          </a:solidFill>
          <a:ln w="12700">
            <a:solidFill>
              <a:srgbClr val="000000"/>
            </a:solidFill>
            <a:round/>
            <a:headEnd/>
            <a:tailEnd/>
          </a:ln>
        </xdr:spPr>
      </xdr:sp>
      <xdr:sp macro="" textlink="">
        <xdr:nvSpPr>
          <xdr:cNvPr id="32" name="Freeform 31">
            <a:extLst>
              <a:ext uri="{FF2B5EF4-FFF2-40B4-BE49-F238E27FC236}">
                <a16:creationId xmlns:a16="http://schemas.microsoft.com/office/drawing/2014/main" id="{00000000-0008-0000-0100-000020000000}"/>
              </a:ext>
            </a:extLst>
          </xdr:cNvPr>
          <xdr:cNvSpPr>
            <a:spLocks/>
          </xdr:cNvSpPr>
        </xdr:nvSpPr>
        <xdr:spPr bwMode="auto">
          <a:xfrm>
            <a:off x="879" y="138"/>
            <a:ext cx="8"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365" y="0"/>
                </a:moveTo>
                <a:lnTo>
                  <a:pt x="0" y="1590"/>
                </a:lnTo>
                <a:lnTo>
                  <a:pt x="365" y="1039"/>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Freeform 32">
            <a:extLst>
              <a:ext uri="{FF2B5EF4-FFF2-40B4-BE49-F238E27FC236}">
                <a16:creationId xmlns:a16="http://schemas.microsoft.com/office/drawing/2014/main" id="{00000000-0008-0000-0100-000021000000}"/>
              </a:ext>
            </a:extLst>
          </xdr:cNvPr>
          <xdr:cNvSpPr>
            <a:spLocks/>
          </xdr:cNvSpPr>
        </xdr:nvSpPr>
        <xdr:spPr bwMode="auto">
          <a:xfrm>
            <a:off x="887" y="138"/>
            <a:ext cx="7"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0" y="0"/>
                </a:moveTo>
                <a:lnTo>
                  <a:pt x="0" y="1039"/>
                </a:lnTo>
                <a:lnTo>
                  <a:pt x="365" y="1590"/>
                </a:lnTo>
                <a:lnTo>
                  <a:pt x="0" y="0"/>
                </a:lnTo>
                <a:close/>
              </a:path>
            </a:pathLst>
          </a:custGeom>
          <a:solidFill>
            <a:srgbClr val="000000"/>
          </a:solidFill>
          <a:ln w="12700">
            <a:solidFill>
              <a:srgbClr val="000000"/>
            </a:solidFill>
            <a:round/>
            <a:headEnd/>
            <a:tailEnd/>
          </a:ln>
        </xdr:spPr>
      </xdr:sp>
      <xdr:sp macro="" textlink="">
        <xdr:nvSpPr>
          <xdr:cNvPr id="34" name="Freeform 33">
            <a:extLst>
              <a:ext uri="{FF2B5EF4-FFF2-40B4-BE49-F238E27FC236}">
                <a16:creationId xmlns:a16="http://schemas.microsoft.com/office/drawing/2014/main" id="{00000000-0008-0000-0100-000022000000}"/>
              </a:ext>
            </a:extLst>
          </xdr:cNvPr>
          <xdr:cNvSpPr>
            <a:spLocks/>
          </xdr:cNvSpPr>
        </xdr:nvSpPr>
        <xdr:spPr bwMode="auto">
          <a:xfrm>
            <a:off x="887" y="138"/>
            <a:ext cx="7"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0" y="0"/>
                </a:moveTo>
                <a:lnTo>
                  <a:pt x="0" y="1039"/>
                </a:lnTo>
                <a:lnTo>
                  <a:pt x="365" y="159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Line 34">
            <a:extLst>
              <a:ext uri="{FF2B5EF4-FFF2-40B4-BE49-F238E27FC236}">
                <a16:creationId xmlns:a16="http://schemas.microsoft.com/office/drawing/2014/main" id="{00000000-0008-0000-0100-000023000000}"/>
              </a:ext>
            </a:extLst>
          </xdr:cNvPr>
          <xdr:cNvSpPr>
            <a:spLocks noChangeShapeType="1"/>
          </xdr:cNvSpPr>
        </xdr:nvSpPr>
        <xdr:spPr bwMode="auto">
          <a:xfrm flipH="1" flipV="1">
            <a:off x="887" y="138"/>
            <a:ext cx="7" cy="3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35">
            <a:extLst>
              <a:ext uri="{FF2B5EF4-FFF2-40B4-BE49-F238E27FC236}">
                <a16:creationId xmlns:a16="http://schemas.microsoft.com/office/drawing/2014/main" id="{00000000-0008-0000-0100-000024000000}"/>
              </a:ext>
            </a:extLst>
          </xdr:cNvPr>
          <xdr:cNvSpPr>
            <a:spLocks noChangeShapeType="1"/>
          </xdr:cNvSpPr>
        </xdr:nvSpPr>
        <xdr:spPr bwMode="auto">
          <a:xfrm flipH="1">
            <a:off x="879" y="138"/>
            <a:ext cx="8" cy="3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36">
            <a:extLst>
              <a:ext uri="{FF2B5EF4-FFF2-40B4-BE49-F238E27FC236}">
                <a16:creationId xmlns:a16="http://schemas.microsoft.com/office/drawing/2014/main" id="{00000000-0008-0000-0100-000025000000}"/>
              </a:ext>
            </a:extLst>
          </xdr:cNvPr>
          <xdr:cNvSpPr>
            <a:spLocks noChangeShapeType="1"/>
          </xdr:cNvSpPr>
        </xdr:nvSpPr>
        <xdr:spPr bwMode="auto">
          <a:xfrm flipH="1">
            <a:off x="847" y="170"/>
            <a:ext cx="32" cy="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37">
            <a:extLst>
              <a:ext uri="{FF2B5EF4-FFF2-40B4-BE49-F238E27FC236}">
                <a16:creationId xmlns:a16="http://schemas.microsoft.com/office/drawing/2014/main" id="{00000000-0008-0000-0100-000026000000}"/>
              </a:ext>
            </a:extLst>
          </xdr:cNvPr>
          <xdr:cNvSpPr>
            <a:spLocks noChangeShapeType="1"/>
          </xdr:cNvSpPr>
        </xdr:nvSpPr>
        <xdr:spPr bwMode="auto">
          <a:xfrm>
            <a:off x="847" y="178"/>
            <a:ext cx="32" cy="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Line 38">
            <a:extLst>
              <a:ext uri="{FF2B5EF4-FFF2-40B4-BE49-F238E27FC236}">
                <a16:creationId xmlns:a16="http://schemas.microsoft.com/office/drawing/2014/main" id="{00000000-0008-0000-0100-000027000000}"/>
              </a:ext>
            </a:extLst>
          </xdr:cNvPr>
          <xdr:cNvSpPr>
            <a:spLocks noChangeShapeType="1"/>
          </xdr:cNvSpPr>
        </xdr:nvSpPr>
        <xdr:spPr bwMode="auto">
          <a:xfrm>
            <a:off x="879" y="185"/>
            <a:ext cx="8" cy="3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39">
            <a:extLst>
              <a:ext uri="{FF2B5EF4-FFF2-40B4-BE49-F238E27FC236}">
                <a16:creationId xmlns:a16="http://schemas.microsoft.com/office/drawing/2014/main" id="{00000000-0008-0000-0100-000028000000}"/>
              </a:ext>
            </a:extLst>
          </xdr:cNvPr>
          <xdr:cNvSpPr>
            <a:spLocks noChangeShapeType="1"/>
          </xdr:cNvSpPr>
        </xdr:nvSpPr>
        <xdr:spPr bwMode="auto">
          <a:xfrm flipV="1">
            <a:off x="887" y="185"/>
            <a:ext cx="7" cy="3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40">
            <a:extLst>
              <a:ext uri="{FF2B5EF4-FFF2-40B4-BE49-F238E27FC236}">
                <a16:creationId xmlns:a16="http://schemas.microsoft.com/office/drawing/2014/main" id="{00000000-0008-0000-0100-000029000000}"/>
              </a:ext>
            </a:extLst>
          </xdr:cNvPr>
          <xdr:cNvSpPr>
            <a:spLocks noChangeShapeType="1"/>
          </xdr:cNvSpPr>
        </xdr:nvSpPr>
        <xdr:spPr bwMode="auto">
          <a:xfrm flipV="1">
            <a:off x="894" y="178"/>
            <a:ext cx="33" cy="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Line 41">
            <a:extLst>
              <a:ext uri="{FF2B5EF4-FFF2-40B4-BE49-F238E27FC236}">
                <a16:creationId xmlns:a16="http://schemas.microsoft.com/office/drawing/2014/main" id="{00000000-0008-0000-0100-00002A000000}"/>
              </a:ext>
            </a:extLst>
          </xdr:cNvPr>
          <xdr:cNvSpPr>
            <a:spLocks noChangeShapeType="1"/>
          </xdr:cNvSpPr>
        </xdr:nvSpPr>
        <xdr:spPr bwMode="auto">
          <a:xfrm flipH="1" flipV="1">
            <a:off x="894" y="170"/>
            <a:ext cx="33" cy="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Line 42">
            <a:extLst>
              <a:ext uri="{FF2B5EF4-FFF2-40B4-BE49-F238E27FC236}">
                <a16:creationId xmlns:a16="http://schemas.microsoft.com/office/drawing/2014/main" id="{00000000-0008-0000-0100-00002B000000}"/>
              </a:ext>
            </a:extLst>
          </xdr:cNvPr>
          <xdr:cNvSpPr>
            <a:spLocks noChangeShapeType="1"/>
          </xdr:cNvSpPr>
        </xdr:nvSpPr>
        <xdr:spPr bwMode="auto">
          <a:xfrm flipH="1" flipV="1">
            <a:off x="887" y="159"/>
            <a:ext cx="3"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43">
            <a:extLst>
              <a:ext uri="{FF2B5EF4-FFF2-40B4-BE49-F238E27FC236}">
                <a16:creationId xmlns:a16="http://schemas.microsoft.com/office/drawing/2014/main" id="{00000000-0008-0000-0100-00002C000000}"/>
              </a:ext>
            </a:extLst>
          </xdr:cNvPr>
          <xdr:cNvSpPr>
            <a:spLocks noChangeShapeType="1"/>
          </xdr:cNvSpPr>
        </xdr:nvSpPr>
        <xdr:spPr bwMode="auto">
          <a:xfrm flipH="1">
            <a:off x="883" y="159"/>
            <a:ext cx="4"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Line 44">
            <a:extLst>
              <a:ext uri="{FF2B5EF4-FFF2-40B4-BE49-F238E27FC236}">
                <a16:creationId xmlns:a16="http://schemas.microsoft.com/office/drawing/2014/main" id="{00000000-0008-0000-0100-00002D000000}"/>
              </a:ext>
            </a:extLst>
          </xdr:cNvPr>
          <xdr:cNvSpPr>
            <a:spLocks noChangeShapeType="1"/>
          </xdr:cNvSpPr>
        </xdr:nvSpPr>
        <xdr:spPr bwMode="auto">
          <a:xfrm flipH="1">
            <a:off x="868" y="174"/>
            <a:ext cx="15" cy="4"/>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 name="Line 45">
            <a:extLst>
              <a:ext uri="{FF2B5EF4-FFF2-40B4-BE49-F238E27FC236}">
                <a16:creationId xmlns:a16="http://schemas.microsoft.com/office/drawing/2014/main" id="{00000000-0008-0000-0100-00002E000000}"/>
              </a:ext>
            </a:extLst>
          </xdr:cNvPr>
          <xdr:cNvSpPr>
            <a:spLocks noChangeShapeType="1"/>
          </xdr:cNvSpPr>
        </xdr:nvSpPr>
        <xdr:spPr bwMode="auto">
          <a:xfrm>
            <a:off x="868" y="178"/>
            <a:ext cx="15" cy="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 name="Line 46">
            <a:extLst>
              <a:ext uri="{FF2B5EF4-FFF2-40B4-BE49-F238E27FC236}">
                <a16:creationId xmlns:a16="http://schemas.microsoft.com/office/drawing/2014/main" id="{00000000-0008-0000-0100-00002F000000}"/>
              </a:ext>
            </a:extLst>
          </xdr:cNvPr>
          <xdr:cNvSpPr>
            <a:spLocks noChangeShapeType="1"/>
          </xdr:cNvSpPr>
        </xdr:nvSpPr>
        <xdr:spPr bwMode="auto">
          <a:xfrm>
            <a:off x="883" y="181"/>
            <a:ext cx="4"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47">
            <a:extLst>
              <a:ext uri="{FF2B5EF4-FFF2-40B4-BE49-F238E27FC236}">
                <a16:creationId xmlns:a16="http://schemas.microsoft.com/office/drawing/2014/main" id="{00000000-0008-0000-0100-000030000000}"/>
              </a:ext>
            </a:extLst>
          </xdr:cNvPr>
          <xdr:cNvSpPr>
            <a:spLocks noChangeShapeType="1"/>
          </xdr:cNvSpPr>
        </xdr:nvSpPr>
        <xdr:spPr bwMode="auto">
          <a:xfrm flipV="1">
            <a:off x="887" y="181"/>
            <a:ext cx="3"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Line 48">
            <a:extLst>
              <a:ext uri="{FF2B5EF4-FFF2-40B4-BE49-F238E27FC236}">
                <a16:creationId xmlns:a16="http://schemas.microsoft.com/office/drawing/2014/main" id="{00000000-0008-0000-0100-000031000000}"/>
              </a:ext>
            </a:extLst>
          </xdr:cNvPr>
          <xdr:cNvSpPr>
            <a:spLocks noChangeShapeType="1"/>
          </xdr:cNvSpPr>
        </xdr:nvSpPr>
        <xdr:spPr bwMode="auto">
          <a:xfrm flipV="1">
            <a:off x="890" y="178"/>
            <a:ext cx="16" cy="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Line 49">
            <a:extLst>
              <a:ext uri="{FF2B5EF4-FFF2-40B4-BE49-F238E27FC236}">
                <a16:creationId xmlns:a16="http://schemas.microsoft.com/office/drawing/2014/main" id="{00000000-0008-0000-0100-000032000000}"/>
              </a:ext>
            </a:extLst>
          </xdr:cNvPr>
          <xdr:cNvSpPr>
            <a:spLocks noChangeShapeType="1"/>
          </xdr:cNvSpPr>
        </xdr:nvSpPr>
        <xdr:spPr bwMode="auto">
          <a:xfrm flipH="1" flipV="1">
            <a:off x="890" y="174"/>
            <a:ext cx="16" cy="4"/>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Oval 50">
            <a:extLst>
              <a:ext uri="{FF2B5EF4-FFF2-40B4-BE49-F238E27FC236}">
                <a16:creationId xmlns:a16="http://schemas.microsoft.com/office/drawing/2014/main" id="{00000000-0008-0000-0100-000033000000}"/>
              </a:ext>
            </a:extLst>
          </xdr:cNvPr>
          <xdr:cNvSpPr>
            <a:spLocks noChangeArrowheads="1"/>
          </xdr:cNvSpPr>
        </xdr:nvSpPr>
        <xdr:spPr bwMode="auto">
          <a:xfrm>
            <a:off x="846" y="138"/>
            <a:ext cx="81" cy="81"/>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85725</xdr:colOff>
      <xdr:row>1</xdr:row>
      <xdr:rowOff>161925</xdr:rowOff>
    </xdr:from>
    <xdr:to>
      <xdr:col>2</xdr:col>
      <xdr:colOff>123825</xdr:colOff>
      <xdr:row>2</xdr:row>
      <xdr:rowOff>217170</xdr:rowOff>
    </xdr:to>
    <xdr:grpSp>
      <xdr:nvGrpSpPr>
        <xdr:cNvPr id="52" name="Group 51">
          <a:extLst>
            <a:ext uri="{FF2B5EF4-FFF2-40B4-BE49-F238E27FC236}">
              <a16:creationId xmlns:a16="http://schemas.microsoft.com/office/drawing/2014/main" id="{00000000-0008-0000-0100-000034000000}"/>
            </a:ext>
          </a:extLst>
        </xdr:cNvPr>
        <xdr:cNvGrpSpPr>
          <a:grpSpLocks/>
        </xdr:cNvGrpSpPr>
      </xdr:nvGrpSpPr>
      <xdr:grpSpPr bwMode="auto">
        <a:xfrm>
          <a:off x="242607" y="542925"/>
          <a:ext cx="497542" cy="436245"/>
          <a:chOff x="846" y="138"/>
          <a:chExt cx="81" cy="81"/>
        </a:xfrm>
      </xdr:grpSpPr>
      <xdr:sp macro="" textlink="">
        <xdr:nvSpPr>
          <xdr:cNvPr id="53" name="Freeform 52">
            <a:extLst>
              <a:ext uri="{FF2B5EF4-FFF2-40B4-BE49-F238E27FC236}">
                <a16:creationId xmlns:a16="http://schemas.microsoft.com/office/drawing/2014/main" id="{00000000-0008-0000-0100-000035000000}"/>
              </a:ext>
            </a:extLst>
          </xdr:cNvPr>
          <xdr:cNvSpPr>
            <a:spLocks/>
          </xdr:cNvSpPr>
        </xdr:nvSpPr>
        <xdr:spPr bwMode="auto">
          <a:xfrm>
            <a:off x="887" y="185"/>
            <a:ext cx="7"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365" y="0"/>
                </a:moveTo>
                <a:lnTo>
                  <a:pt x="0" y="550"/>
                </a:lnTo>
                <a:lnTo>
                  <a:pt x="0" y="1591"/>
                </a:lnTo>
                <a:lnTo>
                  <a:pt x="365" y="0"/>
                </a:lnTo>
                <a:close/>
              </a:path>
            </a:pathLst>
          </a:custGeom>
          <a:solidFill>
            <a:srgbClr val="000000"/>
          </a:solidFill>
          <a:ln w="12700">
            <a:solidFill>
              <a:srgbClr val="000000"/>
            </a:solidFill>
            <a:round/>
            <a:headEnd/>
            <a:tailEnd/>
          </a:ln>
        </xdr:spPr>
      </xdr:sp>
      <xdr:sp macro="" textlink="">
        <xdr:nvSpPr>
          <xdr:cNvPr id="54" name="Freeform 53">
            <a:extLst>
              <a:ext uri="{FF2B5EF4-FFF2-40B4-BE49-F238E27FC236}">
                <a16:creationId xmlns:a16="http://schemas.microsoft.com/office/drawing/2014/main" id="{00000000-0008-0000-0100-000036000000}"/>
              </a:ext>
            </a:extLst>
          </xdr:cNvPr>
          <xdr:cNvSpPr>
            <a:spLocks/>
          </xdr:cNvSpPr>
        </xdr:nvSpPr>
        <xdr:spPr bwMode="auto">
          <a:xfrm>
            <a:off x="887" y="185"/>
            <a:ext cx="7"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365" y="0"/>
                </a:moveTo>
                <a:lnTo>
                  <a:pt x="0" y="550"/>
                </a:lnTo>
                <a:lnTo>
                  <a:pt x="0" y="1591"/>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5" name="Freeform 54">
            <a:extLst>
              <a:ext uri="{FF2B5EF4-FFF2-40B4-BE49-F238E27FC236}">
                <a16:creationId xmlns:a16="http://schemas.microsoft.com/office/drawing/2014/main" id="{00000000-0008-0000-0100-000037000000}"/>
              </a:ext>
            </a:extLst>
          </xdr:cNvPr>
          <xdr:cNvSpPr>
            <a:spLocks/>
          </xdr:cNvSpPr>
        </xdr:nvSpPr>
        <xdr:spPr bwMode="auto">
          <a:xfrm>
            <a:off x="879" y="185"/>
            <a:ext cx="8"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0" y="0"/>
                </a:moveTo>
                <a:lnTo>
                  <a:pt x="365" y="1591"/>
                </a:lnTo>
                <a:lnTo>
                  <a:pt x="365" y="550"/>
                </a:lnTo>
                <a:lnTo>
                  <a:pt x="0" y="0"/>
                </a:lnTo>
                <a:close/>
              </a:path>
            </a:pathLst>
          </a:custGeom>
          <a:solidFill>
            <a:srgbClr val="000000"/>
          </a:solidFill>
          <a:ln w="12700">
            <a:solidFill>
              <a:srgbClr val="000000"/>
            </a:solidFill>
            <a:round/>
            <a:headEnd/>
            <a:tailEnd/>
          </a:ln>
        </xdr:spPr>
      </xdr:sp>
      <xdr:sp macro="" textlink="">
        <xdr:nvSpPr>
          <xdr:cNvPr id="56" name="Freeform 55">
            <a:extLst>
              <a:ext uri="{FF2B5EF4-FFF2-40B4-BE49-F238E27FC236}">
                <a16:creationId xmlns:a16="http://schemas.microsoft.com/office/drawing/2014/main" id="{00000000-0008-0000-0100-000038000000}"/>
              </a:ext>
            </a:extLst>
          </xdr:cNvPr>
          <xdr:cNvSpPr>
            <a:spLocks/>
          </xdr:cNvSpPr>
        </xdr:nvSpPr>
        <xdr:spPr bwMode="auto">
          <a:xfrm>
            <a:off x="879" y="185"/>
            <a:ext cx="8"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0" y="0"/>
                </a:moveTo>
                <a:lnTo>
                  <a:pt x="365" y="1591"/>
                </a:lnTo>
                <a:lnTo>
                  <a:pt x="365" y="55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Freeform 56">
            <a:extLst>
              <a:ext uri="{FF2B5EF4-FFF2-40B4-BE49-F238E27FC236}">
                <a16:creationId xmlns:a16="http://schemas.microsoft.com/office/drawing/2014/main" id="{00000000-0008-0000-0100-000039000000}"/>
              </a:ext>
            </a:extLst>
          </xdr:cNvPr>
          <xdr:cNvSpPr>
            <a:spLocks/>
          </xdr:cNvSpPr>
        </xdr:nvSpPr>
        <xdr:spPr bwMode="auto">
          <a:xfrm>
            <a:off x="887" y="181"/>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72" y="0"/>
                </a:moveTo>
                <a:lnTo>
                  <a:pt x="0" y="746"/>
                </a:lnTo>
                <a:lnTo>
                  <a:pt x="365" y="196"/>
                </a:lnTo>
                <a:lnTo>
                  <a:pt x="172" y="0"/>
                </a:lnTo>
                <a:close/>
              </a:path>
            </a:pathLst>
          </a:custGeom>
          <a:solidFill>
            <a:srgbClr val="000000"/>
          </a:solidFill>
          <a:ln w="12700">
            <a:solidFill>
              <a:srgbClr val="000000"/>
            </a:solidFill>
            <a:round/>
            <a:headEnd/>
            <a:tailEnd/>
          </a:ln>
        </xdr:spPr>
      </xdr:sp>
      <xdr:sp macro="" textlink="">
        <xdr:nvSpPr>
          <xdr:cNvPr id="58" name="Freeform 57">
            <a:extLst>
              <a:ext uri="{FF2B5EF4-FFF2-40B4-BE49-F238E27FC236}">
                <a16:creationId xmlns:a16="http://schemas.microsoft.com/office/drawing/2014/main" id="{00000000-0008-0000-0100-00003A000000}"/>
              </a:ext>
            </a:extLst>
          </xdr:cNvPr>
          <xdr:cNvSpPr>
            <a:spLocks/>
          </xdr:cNvSpPr>
        </xdr:nvSpPr>
        <xdr:spPr bwMode="auto">
          <a:xfrm>
            <a:off x="887" y="181"/>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72" y="0"/>
                </a:moveTo>
                <a:lnTo>
                  <a:pt x="0" y="746"/>
                </a:lnTo>
                <a:lnTo>
                  <a:pt x="365" y="196"/>
                </a:lnTo>
                <a:lnTo>
                  <a:pt x="17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9" name="Freeform 58">
            <a:extLst>
              <a:ext uri="{FF2B5EF4-FFF2-40B4-BE49-F238E27FC236}">
                <a16:creationId xmlns:a16="http://schemas.microsoft.com/office/drawing/2014/main" id="{00000000-0008-0000-0100-00003B000000}"/>
              </a:ext>
            </a:extLst>
          </xdr:cNvPr>
          <xdr:cNvSpPr>
            <a:spLocks/>
          </xdr:cNvSpPr>
        </xdr:nvSpPr>
        <xdr:spPr bwMode="auto">
          <a:xfrm>
            <a:off x="879" y="181"/>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95" y="0"/>
                </a:moveTo>
                <a:lnTo>
                  <a:pt x="0" y="196"/>
                </a:lnTo>
                <a:lnTo>
                  <a:pt x="365" y="746"/>
                </a:lnTo>
                <a:lnTo>
                  <a:pt x="195" y="0"/>
                </a:lnTo>
                <a:close/>
              </a:path>
            </a:pathLst>
          </a:custGeom>
          <a:solidFill>
            <a:srgbClr val="000000"/>
          </a:solidFill>
          <a:ln w="12700">
            <a:solidFill>
              <a:srgbClr val="000000"/>
            </a:solidFill>
            <a:round/>
            <a:headEnd/>
            <a:tailEnd/>
          </a:ln>
        </xdr:spPr>
      </xdr:sp>
      <xdr:sp macro="" textlink="">
        <xdr:nvSpPr>
          <xdr:cNvPr id="60" name="Freeform 59">
            <a:extLst>
              <a:ext uri="{FF2B5EF4-FFF2-40B4-BE49-F238E27FC236}">
                <a16:creationId xmlns:a16="http://schemas.microsoft.com/office/drawing/2014/main" id="{00000000-0008-0000-0100-00003C000000}"/>
              </a:ext>
            </a:extLst>
          </xdr:cNvPr>
          <xdr:cNvSpPr>
            <a:spLocks/>
          </xdr:cNvSpPr>
        </xdr:nvSpPr>
        <xdr:spPr bwMode="auto">
          <a:xfrm>
            <a:off x="879" y="181"/>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95" y="0"/>
                </a:moveTo>
                <a:lnTo>
                  <a:pt x="0" y="196"/>
                </a:lnTo>
                <a:lnTo>
                  <a:pt x="365" y="746"/>
                </a:lnTo>
                <a:lnTo>
                  <a:pt x="19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Freeform 60">
            <a:extLst>
              <a:ext uri="{FF2B5EF4-FFF2-40B4-BE49-F238E27FC236}">
                <a16:creationId xmlns:a16="http://schemas.microsoft.com/office/drawing/2014/main" id="{00000000-0008-0000-0100-00003D000000}"/>
              </a:ext>
            </a:extLst>
          </xdr:cNvPr>
          <xdr:cNvSpPr>
            <a:spLocks/>
          </xdr:cNvSpPr>
        </xdr:nvSpPr>
        <xdr:spPr bwMode="auto">
          <a:xfrm>
            <a:off x="890" y="178"/>
            <a:ext cx="37" cy="7"/>
          </a:xfrm>
          <a:custGeom>
            <a:avLst/>
            <a:gdLst>
              <a:gd name="T0" fmla="*/ 0 w 1776"/>
              <a:gd name="T1" fmla="*/ 0 h 368"/>
              <a:gd name="T2" fmla="*/ 0 w 1776"/>
              <a:gd name="T3" fmla="*/ 0 h 368"/>
              <a:gd name="T4" fmla="*/ 0 w 1776"/>
              <a:gd name="T5" fmla="*/ 0 h 368"/>
              <a:gd name="T6" fmla="*/ 0 w 1776"/>
              <a:gd name="T7" fmla="*/ 0 h 368"/>
              <a:gd name="T8" fmla="*/ 0 60000 65536"/>
              <a:gd name="T9" fmla="*/ 0 60000 65536"/>
              <a:gd name="T10" fmla="*/ 0 60000 65536"/>
              <a:gd name="T11" fmla="*/ 0 60000 65536"/>
              <a:gd name="T12" fmla="*/ 0 w 1776"/>
              <a:gd name="T13" fmla="*/ 0 h 368"/>
              <a:gd name="T14" fmla="*/ 1776 w 1776"/>
              <a:gd name="T15" fmla="*/ 368 h 368"/>
            </a:gdLst>
            <a:ahLst/>
            <a:cxnLst>
              <a:cxn ang="T8">
                <a:pos x="T0" y="T1"/>
              </a:cxn>
              <a:cxn ang="T9">
                <a:pos x="T2" y="T3"/>
              </a:cxn>
              <a:cxn ang="T10">
                <a:pos x="T4" y="T5"/>
              </a:cxn>
              <a:cxn ang="T11">
                <a:pos x="T6" y="T7"/>
              </a:cxn>
            </a:cxnLst>
            <a:rect l="T12" t="T13" r="T14" b="T15"/>
            <a:pathLst>
              <a:path w="1776" h="368">
                <a:moveTo>
                  <a:pt x="1776" y="0"/>
                </a:moveTo>
                <a:lnTo>
                  <a:pt x="0" y="172"/>
                </a:lnTo>
                <a:lnTo>
                  <a:pt x="193" y="368"/>
                </a:lnTo>
                <a:lnTo>
                  <a:pt x="1776" y="0"/>
                </a:lnTo>
                <a:close/>
              </a:path>
            </a:pathLst>
          </a:custGeom>
          <a:solidFill>
            <a:srgbClr val="000000"/>
          </a:solidFill>
          <a:ln w="12700">
            <a:solidFill>
              <a:srgbClr val="000000"/>
            </a:solidFill>
            <a:round/>
            <a:headEnd/>
            <a:tailEnd/>
          </a:ln>
        </xdr:spPr>
      </xdr:sp>
      <xdr:sp macro="" textlink="">
        <xdr:nvSpPr>
          <xdr:cNvPr id="62" name="Freeform 61">
            <a:extLst>
              <a:ext uri="{FF2B5EF4-FFF2-40B4-BE49-F238E27FC236}">
                <a16:creationId xmlns:a16="http://schemas.microsoft.com/office/drawing/2014/main" id="{00000000-0008-0000-0100-00003E000000}"/>
              </a:ext>
            </a:extLst>
          </xdr:cNvPr>
          <xdr:cNvSpPr>
            <a:spLocks/>
          </xdr:cNvSpPr>
        </xdr:nvSpPr>
        <xdr:spPr bwMode="auto">
          <a:xfrm>
            <a:off x="890" y="178"/>
            <a:ext cx="37" cy="7"/>
          </a:xfrm>
          <a:custGeom>
            <a:avLst/>
            <a:gdLst>
              <a:gd name="T0" fmla="*/ 0 w 1776"/>
              <a:gd name="T1" fmla="*/ 0 h 368"/>
              <a:gd name="T2" fmla="*/ 0 w 1776"/>
              <a:gd name="T3" fmla="*/ 0 h 368"/>
              <a:gd name="T4" fmla="*/ 0 w 1776"/>
              <a:gd name="T5" fmla="*/ 0 h 368"/>
              <a:gd name="T6" fmla="*/ 0 w 1776"/>
              <a:gd name="T7" fmla="*/ 0 h 368"/>
              <a:gd name="T8" fmla="*/ 0 60000 65536"/>
              <a:gd name="T9" fmla="*/ 0 60000 65536"/>
              <a:gd name="T10" fmla="*/ 0 60000 65536"/>
              <a:gd name="T11" fmla="*/ 0 60000 65536"/>
              <a:gd name="T12" fmla="*/ 0 w 1776"/>
              <a:gd name="T13" fmla="*/ 0 h 368"/>
              <a:gd name="T14" fmla="*/ 1776 w 1776"/>
              <a:gd name="T15" fmla="*/ 368 h 368"/>
            </a:gdLst>
            <a:ahLst/>
            <a:cxnLst>
              <a:cxn ang="T8">
                <a:pos x="T0" y="T1"/>
              </a:cxn>
              <a:cxn ang="T9">
                <a:pos x="T2" y="T3"/>
              </a:cxn>
              <a:cxn ang="T10">
                <a:pos x="T4" y="T5"/>
              </a:cxn>
              <a:cxn ang="T11">
                <a:pos x="T6" y="T7"/>
              </a:cxn>
            </a:cxnLst>
            <a:rect l="T12" t="T13" r="T14" b="T15"/>
            <a:pathLst>
              <a:path w="1776" h="368">
                <a:moveTo>
                  <a:pt x="1776" y="0"/>
                </a:moveTo>
                <a:lnTo>
                  <a:pt x="0" y="172"/>
                </a:lnTo>
                <a:lnTo>
                  <a:pt x="193" y="368"/>
                </a:lnTo>
                <a:lnTo>
                  <a:pt x="1776"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3" name="Freeform 62">
            <a:extLst>
              <a:ext uri="{FF2B5EF4-FFF2-40B4-BE49-F238E27FC236}">
                <a16:creationId xmlns:a16="http://schemas.microsoft.com/office/drawing/2014/main" id="{00000000-0008-0000-0100-00003F000000}"/>
              </a:ext>
            </a:extLst>
          </xdr:cNvPr>
          <xdr:cNvSpPr>
            <a:spLocks/>
          </xdr:cNvSpPr>
        </xdr:nvSpPr>
        <xdr:spPr bwMode="auto">
          <a:xfrm>
            <a:off x="890" y="178"/>
            <a:ext cx="37" cy="3"/>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742" y="0"/>
                </a:moveTo>
                <a:lnTo>
                  <a:pt x="0" y="172"/>
                </a:lnTo>
                <a:lnTo>
                  <a:pt x="1776" y="0"/>
                </a:lnTo>
                <a:lnTo>
                  <a:pt x="742" y="0"/>
                </a:lnTo>
                <a:close/>
              </a:path>
            </a:pathLst>
          </a:custGeom>
          <a:solidFill>
            <a:srgbClr val="000000"/>
          </a:solidFill>
          <a:ln w="12700">
            <a:solidFill>
              <a:srgbClr val="000000"/>
            </a:solidFill>
            <a:round/>
            <a:headEnd/>
            <a:tailEnd/>
          </a:ln>
        </xdr:spPr>
      </xdr:sp>
      <xdr:sp macro="" textlink="">
        <xdr:nvSpPr>
          <xdr:cNvPr id="64" name="Freeform 63">
            <a:extLst>
              <a:ext uri="{FF2B5EF4-FFF2-40B4-BE49-F238E27FC236}">
                <a16:creationId xmlns:a16="http://schemas.microsoft.com/office/drawing/2014/main" id="{00000000-0008-0000-0100-000040000000}"/>
              </a:ext>
            </a:extLst>
          </xdr:cNvPr>
          <xdr:cNvSpPr>
            <a:spLocks/>
          </xdr:cNvSpPr>
        </xdr:nvSpPr>
        <xdr:spPr bwMode="auto">
          <a:xfrm>
            <a:off x="890" y="178"/>
            <a:ext cx="37" cy="3"/>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742" y="0"/>
                </a:moveTo>
                <a:lnTo>
                  <a:pt x="0" y="172"/>
                </a:lnTo>
                <a:lnTo>
                  <a:pt x="1776" y="0"/>
                </a:lnTo>
                <a:lnTo>
                  <a:pt x="74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 name="Freeform 64">
            <a:extLst>
              <a:ext uri="{FF2B5EF4-FFF2-40B4-BE49-F238E27FC236}">
                <a16:creationId xmlns:a16="http://schemas.microsoft.com/office/drawing/2014/main" id="{00000000-0008-0000-0100-000041000000}"/>
              </a:ext>
            </a:extLst>
          </xdr:cNvPr>
          <xdr:cNvSpPr>
            <a:spLocks/>
          </xdr:cNvSpPr>
        </xdr:nvSpPr>
        <xdr:spPr bwMode="auto">
          <a:xfrm>
            <a:off x="868" y="178"/>
            <a:ext cx="15" cy="7"/>
          </a:xfrm>
          <a:custGeom>
            <a:avLst/>
            <a:gdLst>
              <a:gd name="T0" fmla="*/ 0 w 743"/>
              <a:gd name="T1" fmla="*/ 0 h 368"/>
              <a:gd name="T2" fmla="*/ 0 w 743"/>
              <a:gd name="T3" fmla="*/ 0 h 368"/>
              <a:gd name="T4" fmla="*/ 0 w 743"/>
              <a:gd name="T5" fmla="*/ 0 h 368"/>
              <a:gd name="T6" fmla="*/ 0 w 743"/>
              <a:gd name="T7" fmla="*/ 0 h 368"/>
              <a:gd name="T8" fmla="*/ 0 60000 65536"/>
              <a:gd name="T9" fmla="*/ 0 60000 65536"/>
              <a:gd name="T10" fmla="*/ 0 60000 65536"/>
              <a:gd name="T11" fmla="*/ 0 60000 65536"/>
              <a:gd name="T12" fmla="*/ 0 w 743"/>
              <a:gd name="T13" fmla="*/ 0 h 368"/>
              <a:gd name="T14" fmla="*/ 743 w 743"/>
              <a:gd name="T15" fmla="*/ 368 h 368"/>
            </a:gdLst>
            <a:ahLst/>
            <a:cxnLst>
              <a:cxn ang="T8">
                <a:pos x="T0" y="T1"/>
              </a:cxn>
              <a:cxn ang="T9">
                <a:pos x="T2" y="T3"/>
              </a:cxn>
              <a:cxn ang="T10">
                <a:pos x="T4" y="T5"/>
              </a:cxn>
              <a:cxn ang="T11">
                <a:pos x="T6" y="T7"/>
              </a:cxn>
            </a:cxnLst>
            <a:rect l="T12" t="T13" r="T14" b="T15"/>
            <a:pathLst>
              <a:path w="743" h="368">
                <a:moveTo>
                  <a:pt x="0" y="0"/>
                </a:moveTo>
                <a:lnTo>
                  <a:pt x="548" y="368"/>
                </a:lnTo>
                <a:lnTo>
                  <a:pt x="743" y="172"/>
                </a:lnTo>
                <a:lnTo>
                  <a:pt x="0" y="0"/>
                </a:lnTo>
                <a:close/>
              </a:path>
            </a:pathLst>
          </a:custGeom>
          <a:solidFill>
            <a:srgbClr val="000000"/>
          </a:solidFill>
          <a:ln w="12700">
            <a:solidFill>
              <a:srgbClr val="000000"/>
            </a:solidFill>
            <a:round/>
            <a:headEnd/>
            <a:tailEnd/>
          </a:ln>
        </xdr:spPr>
      </xdr:sp>
      <xdr:sp macro="" textlink="">
        <xdr:nvSpPr>
          <xdr:cNvPr id="66" name="Freeform 65">
            <a:extLst>
              <a:ext uri="{FF2B5EF4-FFF2-40B4-BE49-F238E27FC236}">
                <a16:creationId xmlns:a16="http://schemas.microsoft.com/office/drawing/2014/main" id="{00000000-0008-0000-0100-000042000000}"/>
              </a:ext>
            </a:extLst>
          </xdr:cNvPr>
          <xdr:cNvSpPr>
            <a:spLocks/>
          </xdr:cNvSpPr>
        </xdr:nvSpPr>
        <xdr:spPr bwMode="auto">
          <a:xfrm>
            <a:off x="868" y="178"/>
            <a:ext cx="15" cy="7"/>
          </a:xfrm>
          <a:custGeom>
            <a:avLst/>
            <a:gdLst>
              <a:gd name="T0" fmla="*/ 0 w 743"/>
              <a:gd name="T1" fmla="*/ 0 h 368"/>
              <a:gd name="T2" fmla="*/ 0 w 743"/>
              <a:gd name="T3" fmla="*/ 0 h 368"/>
              <a:gd name="T4" fmla="*/ 0 w 743"/>
              <a:gd name="T5" fmla="*/ 0 h 368"/>
              <a:gd name="T6" fmla="*/ 0 w 743"/>
              <a:gd name="T7" fmla="*/ 0 h 368"/>
              <a:gd name="T8" fmla="*/ 0 60000 65536"/>
              <a:gd name="T9" fmla="*/ 0 60000 65536"/>
              <a:gd name="T10" fmla="*/ 0 60000 65536"/>
              <a:gd name="T11" fmla="*/ 0 60000 65536"/>
              <a:gd name="T12" fmla="*/ 0 w 743"/>
              <a:gd name="T13" fmla="*/ 0 h 368"/>
              <a:gd name="T14" fmla="*/ 743 w 743"/>
              <a:gd name="T15" fmla="*/ 368 h 368"/>
            </a:gdLst>
            <a:ahLst/>
            <a:cxnLst>
              <a:cxn ang="T8">
                <a:pos x="T0" y="T1"/>
              </a:cxn>
              <a:cxn ang="T9">
                <a:pos x="T2" y="T3"/>
              </a:cxn>
              <a:cxn ang="T10">
                <a:pos x="T4" y="T5"/>
              </a:cxn>
              <a:cxn ang="T11">
                <a:pos x="T6" y="T7"/>
              </a:cxn>
            </a:cxnLst>
            <a:rect l="T12" t="T13" r="T14" b="T15"/>
            <a:pathLst>
              <a:path w="743" h="368">
                <a:moveTo>
                  <a:pt x="0" y="0"/>
                </a:moveTo>
                <a:lnTo>
                  <a:pt x="548" y="368"/>
                </a:lnTo>
                <a:lnTo>
                  <a:pt x="743" y="17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Freeform 66">
            <a:extLst>
              <a:ext uri="{FF2B5EF4-FFF2-40B4-BE49-F238E27FC236}">
                <a16:creationId xmlns:a16="http://schemas.microsoft.com/office/drawing/2014/main" id="{00000000-0008-0000-0100-000043000000}"/>
              </a:ext>
            </a:extLst>
          </xdr:cNvPr>
          <xdr:cNvSpPr>
            <a:spLocks/>
          </xdr:cNvSpPr>
        </xdr:nvSpPr>
        <xdr:spPr bwMode="auto">
          <a:xfrm>
            <a:off x="847" y="178"/>
            <a:ext cx="32" cy="7"/>
          </a:xfrm>
          <a:custGeom>
            <a:avLst/>
            <a:gdLst>
              <a:gd name="T0" fmla="*/ 0 w 1582"/>
              <a:gd name="T1" fmla="*/ 0 h 368"/>
              <a:gd name="T2" fmla="*/ 0 w 1582"/>
              <a:gd name="T3" fmla="*/ 0 h 368"/>
              <a:gd name="T4" fmla="*/ 0 w 1582"/>
              <a:gd name="T5" fmla="*/ 0 h 368"/>
              <a:gd name="T6" fmla="*/ 0 w 1582"/>
              <a:gd name="T7" fmla="*/ 0 h 368"/>
              <a:gd name="T8" fmla="*/ 0 60000 65536"/>
              <a:gd name="T9" fmla="*/ 0 60000 65536"/>
              <a:gd name="T10" fmla="*/ 0 60000 65536"/>
              <a:gd name="T11" fmla="*/ 0 60000 65536"/>
              <a:gd name="T12" fmla="*/ 0 w 1582"/>
              <a:gd name="T13" fmla="*/ 0 h 368"/>
              <a:gd name="T14" fmla="*/ 1582 w 1582"/>
              <a:gd name="T15" fmla="*/ 368 h 368"/>
            </a:gdLst>
            <a:ahLst/>
            <a:cxnLst>
              <a:cxn ang="T8">
                <a:pos x="T0" y="T1"/>
              </a:cxn>
              <a:cxn ang="T9">
                <a:pos x="T2" y="T3"/>
              </a:cxn>
              <a:cxn ang="T10">
                <a:pos x="T4" y="T5"/>
              </a:cxn>
              <a:cxn ang="T11">
                <a:pos x="T6" y="T7"/>
              </a:cxn>
            </a:cxnLst>
            <a:rect l="T12" t="T13" r="T14" b="T15"/>
            <a:pathLst>
              <a:path w="1582" h="368">
                <a:moveTo>
                  <a:pt x="0" y="0"/>
                </a:moveTo>
                <a:lnTo>
                  <a:pt x="1582" y="368"/>
                </a:lnTo>
                <a:lnTo>
                  <a:pt x="1034" y="0"/>
                </a:lnTo>
                <a:lnTo>
                  <a:pt x="0" y="0"/>
                </a:lnTo>
                <a:close/>
              </a:path>
            </a:pathLst>
          </a:custGeom>
          <a:solidFill>
            <a:srgbClr val="000000"/>
          </a:solidFill>
          <a:ln w="12700">
            <a:solidFill>
              <a:srgbClr val="000000"/>
            </a:solidFill>
            <a:round/>
            <a:headEnd/>
            <a:tailEnd/>
          </a:ln>
        </xdr:spPr>
      </xdr:sp>
      <xdr:sp macro="" textlink="">
        <xdr:nvSpPr>
          <xdr:cNvPr id="68" name="Freeform 67">
            <a:extLst>
              <a:ext uri="{FF2B5EF4-FFF2-40B4-BE49-F238E27FC236}">
                <a16:creationId xmlns:a16="http://schemas.microsoft.com/office/drawing/2014/main" id="{00000000-0008-0000-0100-000044000000}"/>
              </a:ext>
            </a:extLst>
          </xdr:cNvPr>
          <xdr:cNvSpPr>
            <a:spLocks/>
          </xdr:cNvSpPr>
        </xdr:nvSpPr>
        <xdr:spPr bwMode="auto">
          <a:xfrm>
            <a:off x="847" y="178"/>
            <a:ext cx="32" cy="7"/>
          </a:xfrm>
          <a:custGeom>
            <a:avLst/>
            <a:gdLst>
              <a:gd name="T0" fmla="*/ 0 w 1582"/>
              <a:gd name="T1" fmla="*/ 0 h 368"/>
              <a:gd name="T2" fmla="*/ 0 w 1582"/>
              <a:gd name="T3" fmla="*/ 0 h 368"/>
              <a:gd name="T4" fmla="*/ 0 w 1582"/>
              <a:gd name="T5" fmla="*/ 0 h 368"/>
              <a:gd name="T6" fmla="*/ 0 w 1582"/>
              <a:gd name="T7" fmla="*/ 0 h 368"/>
              <a:gd name="T8" fmla="*/ 0 60000 65536"/>
              <a:gd name="T9" fmla="*/ 0 60000 65536"/>
              <a:gd name="T10" fmla="*/ 0 60000 65536"/>
              <a:gd name="T11" fmla="*/ 0 60000 65536"/>
              <a:gd name="T12" fmla="*/ 0 w 1582"/>
              <a:gd name="T13" fmla="*/ 0 h 368"/>
              <a:gd name="T14" fmla="*/ 1582 w 1582"/>
              <a:gd name="T15" fmla="*/ 368 h 368"/>
            </a:gdLst>
            <a:ahLst/>
            <a:cxnLst>
              <a:cxn ang="T8">
                <a:pos x="T0" y="T1"/>
              </a:cxn>
              <a:cxn ang="T9">
                <a:pos x="T2" y="T3"/>
              </a:cxn>
              <a:cxn ang="T10">
                <a:pos x="T4" y="T5"/>
              </a:cxn>
              <a:cxn ang="T11">
                <a:pos x="T6" y="T7"/>
              </a:cxn>
            </a:cxnLst>
            <a:rect l="T12" t="T13" r="T14" b="T15"/>
            <a:pathLst>
              <a:path w="1582" h="368">
                <a:moveTo>
                  <a:pt x="0" y="0"/>
                </a:moveTo>
                <a:lnTo>
                  <a:pt x="1582" y="368"/>
                </a:lnTo>
                <a:lnTo>
                  <a:pt x="1034" y="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9" name="Freeform 68">
            <a:extLst>
              <a:ext uri="{FF2B5EF4-FFF2-40B4-BE49-F238E27FC236}">
                <a16:creationId xmlns:a16="http://schemas.microsoft.com/office/drawing/2014/main" id="{00000000-0008-0000-0100-000045000000}"/>
              </a:ext>
            </a:extLst>
          </xdr:cNvPr>
          <xdr:cNvSpPr>
            <a:spLocks/>
          </xdr:cNvSpPr>
        </xdr:nvSpPr>
        <xdr:spPr bwMode="auto">
          <a:xfrm>
            <a:off x="890" y="174"/>
            <a:ext cx="37" cy="4"/>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0" y="0"/>
                </a:moveTo>
                <a:lnTo>
                  <a:pt x="742" y="172"/>
                </a:lnTo>
                <a:lnTo>
                  <a:pt x="1776" y="172"/>
                </a:lnTo>
                <a:lnTo>
                  <a:pt x="0" y="0"/>
                </a:lnTo>
                <a:close/>
              </a:path>
            </a:pathLst>
          </a:custGeom>
          <a:solidFill>
            <a:srgbClr val="000000"/>
          </a:solidFill>
          <a:ln w="12700">
            <a:solidFill>
              <a:srgbClr val="000000"/>
            </a:solidFill>
            <a:round/>
            <a:headEnd/>
            <a:tailEnd/>
          </a:ln>
        </xdr:spPr>
      </xdr:sp>
      <xdr:sp macro="" textlink="">
        <xdr:nvSpPr>
          <xdr:cNvPr id="70" name="Freeform 69">
            <a:extLst>
              <a:ext uri="{FF2B5EF4-FFF2-40B4-BE49-F238E27FC236}">
                <a16:creationId xmlns:a16="http://schemas.microsoft.com/office/drawing/2014/main" id="{00000000-0008-0000-0100-000046000000}"/>
              </a:ext>
            </a:extLst>
          </xdr:cNvPr>
          <xdr:cNvSpPr>
            <a:spLocks/>
          </xdr:cNvSpPr>
        </xdr:nvSpPr>
        <xdr:spPr bwMode="auto">
          <a:xfrm>
            <a:off x="890" y="174"/>
            <a:ext cx="37" cy="4"/>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0" y="0"/>
                </a:moveTo>
                <a:lnTo>
                  <a:pt x="742" y="172"/>
                </a:lnTo>
                <a:lnTo>
                  <a:pt x="1776" y="17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Freeform 70">
            <a:extLst>
              <a:ext uri="{FF2B5EF4-FFF2-40B4-BE49-F238E27FC236}">
                <a16:creationId xmlns:a16="http://schemas.microsoft.com/office/drawing/2014/main" id="{00000000-0008-0000-0100-000047000000}"/>
              </a:ext>
            </a:extLst>
          </xdr:cNvPr>
          <xdr:cNvSpPr>
            <a:spLocks/>
          </xdr:cNvSpPr>
        </xdr:nvSpPr>
        <xdr:spPr bwMode="auto">
          <a:xfrm>
            <a:off x="847" y="174"/>
            <a:ext cx="36" cy="4"/>
          </a:xfrm>
          <a:custGeom>
            <a:avLst/>
            <a:gdLst>
              <a:gd name="T0" fmla="*/ 0 w 1777"/>
              <a:gd name="T1" fmla="*/ 0 h 172"/>
              <a:gd name="T2" fmla="*/ 0 w 1777"/>
              <a:gd name="T3" fmla="*/ 0 h 172"/>
              <a:gd name="T4" fmla="*/ 0 w 1777"/>
              <a:gd name="T5" fmla="*/ 0 h 172"/>
              <a:gd name="T6" fmla="*/ 0 w 1777"/>
              <a:gd name="T7" fmla="*/ 0 h 172"/>
              <a:gd name="T8" fmla="*/ 0 60000 65536"/>
              <a:gd name="T9" fmla="*/ 0 60000 65536"/>
              <a:gd name="T10" fmla="*/ 0 60000 65536"/>
              <a:gd name="T11" fmla="*/ 0 60000 65536"/>
              <a:gd name="T12" fmla="*/ 0 w 1777"/>
              <a:gd name="T13" fmla="*/ 0 h 172"/>
              <a:gd name="T14" fmla="*/ 1777 w 1777"/>
              <a:gd name="T15" fmla="*/ 172 h 172"/>
            </a:gdLst>
            <a:ahLst/>
            <a:cxnLst>
              <a:cxn ang="T8">
                <a:pos x="T0" y="T1"/>
              </a:cxn>
              <a:cxn ang="T9">
                <a:pos x="T2" y="T3"/>
              </a:cxn>
              <a:cxn ang="T10">
                <a:pos x="T4" y="T5"/>
              </a:cxn>
              <a:cxn ang="T11">
                <a:pos x="T6" y="T7"/>
              </a:cxn>
            </a:cxnLst>
            <a:rect l="T12" t="T13" r="T14" b="T15"/>
            <a:pathLst>
              <a:path w="1777" h="172">
                <a:moveTo>
                  <a:pt x="1777" y="0"/>
                </a:moveTo>
                <a:lnTo>
                  <a:pt x="0" y="172"/>
                </a:lnTo>
                <a:lnTo>
                  <a:pt x="1034" y="172"/>
                </a:lnTo>
                <a:lnTo>
                  <a:pt x="1777" y="0"/>
                </a:lnTo>
                <a:close/>
              </a:path>
            </a:pathLst>
          </a:custGeom>
          <a:solidFill>
            <a:srgbClr val="000000"/>
          </a:solidFill>
          <a:ln w="12700">
            <a:solidFill>
              <a:srgbClr val="000000"/>
            </a:solidFill>
            <a:round/>
            <a:headEnd/>
            <a:tailEnd/>
          </a:ln>
        </xdr:spPr>
      </xdr:sp>
      <xdr:sp macro="" textlink="">
        <xdr:nvSpPr>
          <xdr:cNvPr id="72" name="Freeform 71">
            <a:extLst>
              <a:ext uri="{FF2B5EF4-FFF2-40B4-BE49-F238E27FC236}">
                <a16:creationId xmlns:a16="http://schemas.microsoft.com/office/drawing/2014/main" id="{00000000-0008-0000-0100-000048000000}"/>
              </a:ext>
            </a:extLst>
          </xdr:cNvPr>
          <xdr:cNvSpPr>
            <a:spLocks/>
          </xdr:cNvSpPr>
        </xdr:nvSpPr>
        <xdr:spPr bwMode="auto">
          <a:xfrm>
            <a:off x="847" y="174"/>
            <a:ext cx="36" cy="4"/>
          </a:xfrm>
          <a:custGeom>
            <a:avLst/>
            <a:gdLst>
              <a:gd name="T0" fmla="*/ 0 w 1777"/>
              <a:gd name="T1" fmla="*/ 0 h 172"/>
              <a:gd name="T2" fmla="*/ 0 w 1777"/>
              <a:gd name="T3" fmla="*/ 0 h 172"/>
              <a:gd name="T4" fmla="*/ 0 w 1777"/>
              <a:gd name="T5" fmla="*/ 0 h 172"/>
              <a:gd name="T6" fmla="*/ 0 w 1777"/>
              <a:gd name="T7" fmla="*/ 0 h 172"/>
              <a:gd name="T8" fmla="*/ 0 60000 65536"/>
              <a:gd name="T9" fmla="*/ 0 60000 65536"/>
              <a:gd name="T10" fmla="*/ 0 60000 65536"/>
              <a:gd name="T11" fmla="*/ 0 60000 65536"/>
              <a:gd name="T12" fmla="*/ 0 w 1777"/>
              <a:gd name="T13" fmla="*/ 0 h 172"/>
              <a:gd name="T14" fmla="*/ 1777 w 1777"/>
              <a:gd name="T15" fmla="*/ 172 h 172"/>
            </a:gdLst>
            <a:ahLst/>
            <a:cxnLst>
              <a:cxn ang="T8">
                <a:pos x="T0" y="T1"/>
              </a:cxn>
              <a:cxn ang="T9">
                <a:pos x="T2" y="T3"/>
              </a:cxn>
              <a:cxn ang="T10">
                <a:pos x="T4" y="T5"/>
              </a:cxn>
              <a:cxn ang="T11">
                <a:pos x="T6" y="T7"/>
              </a:cxn>
            </a:cxnLst>
            <a:rect l="T12" t="T13" r="T14" b="T15"/>
            <a:pathLst>
              <a:path w="1777" h="172">
                <a:moveTo>
                  <a:pt x="1777" y="0"/>
                </a:moveTo>
                <a:lnTo>
                  <a:pt x="0" y="172"/>
                </a:lnTo>
                <a:lnTo>
                  <a:pt x="1034" y="172"/>
                </a:lnTo>
                <a:lnTo>
                  <a:pt x="1777"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Freeform 72">
            <a:extLst>
              <a:ext uri="{FF2B5EF4-FFF2-40B4-BE49-F238E27FC236}">
                <a16:creationId xmlns:a16="http://schemas.microsoft.com/office/drawing/2014/main" id="{00000000-0008-0000-0100-000049000000}"/>
              </a:ext>
            </a:extLst>
          </xdr:cNvPr>
          <xdr:cNvSpPr>
            <a:spLocks/>
          </xdr:cNvSpPr>
        </xdr:nvSpPr>
        <xdr:spPr bwMode="auto">
          <a:xfrm>
            <a:off x="890" y="170"/>
            <a:ext cx="37" cy="8"/>
          </a:xfrm>
          <a:custGeom>
            <a:avLst/>
            <a:gdLst>
              <a:gd name="T0" fmla="*/ 0 w 1776"/>
              <a:gd name="T1" fmla="*/ 0 h 367"/>
              <a:gd name="T2" fmla="*/ 0 w 1776"/>
              <a:gd name="T3" fmla="*/ 0 h 367"/>
              <a:gd name="T4" fmla="*/ 0 w 1776"/>
              <a:gd name="T5" fmla="*/ 0 h 367"/>
              <a:gd name="T6" fmla="*/ 0 w 1776"/>
              <a:gd name="T7" fmla="*/ 0 h 367"/>
              <a:gd name="T8" fmla="*/ 0 60000 65536"/>
              <a:gd name="T9" fmla="*/ 0 60000 65536"/>
              <a:gd name="T10" fmla="*/ 0 60000 65536"/>
              <a:gd name="T11" fmla="*/ 0 60000 65536"/>
              <a:gd name="T12" fmla="*/ 0 w 1776"/>
              <a:gd name="T13" fmla="*/ 0 h 367"/>
              <a:gd name="T14" fmla="*/ 1776 w 1776"/>
              <a:gd name="T15" fmla="*/ 367 h 367"/>
            </a:gdLst>
            <a:ahLst/>
            <a:cxnLst>
              <a:cxn ang="T8">
                <a:pos x="T0" y="T1"/>
              </a:cxn>
              <a:cxn ang="T9">
                <a:pos x="T2" y="T3"/>
              </a:cxn>
              <a:cxn ang="T10">
                <a:pos x="T4" y="T5"/>
              </a:cxn>
              <a:cxn ang="T11">
                <a:pos x="T6" y="T7"/>
              </a:cxn>
            </a:cxnLst>
            <a:rect l="T12" t="T13" r="T14" b="T15"/>
            <a:pathLst>
              <a:path w="1776" h="367">
                <a:moveTo>
                  <a:pt x="193" y="0"/>
                </a:moveTo>
                <a:lnTo>
                  <a:pt x="0" y="195"/>
                </a:lnTo>
                <a:lnTo>
                  <a:pt x="1776" y="367"/>
                </a:lnTo>
                <a:lnTo>
                  <a:pt x="193" y="0"/>
                </a:lnTo>
                <a:close/>
              </a:path>
            </a:pathLst>
          </a:custGeom>
          <a:solidFill>
            <a:srgbClr val="000000"/>
          </a:solidFill>
          <a:ln w="12700">
            <a:solidFill>
              <a:srgbClr val="000000"/>
            </a:solidFill>
            <a:round/>
            <a:headEnd/>
            <a:tailEnd/>
          </a:ln>
        </xdr:spPr>
      </xdr:sp>
      <xdr:sp macro="" textlink="">
        <xdr:nvSpPr>
          <xdr:cNvPr id="74" name="Freeform 73">
            <a:extLst>
              <a:ext uri="{FF2B5EF4-FFF2-40B4-BE49-F238E27FC236}">
                <a16:creationId xmlns:a16="http://schemas.microsoft.com/office/drawing/2014/main" id="{00000000-0008-0000-0100-00004A000000}"/>
              </a:ext>
            </a:extLst>
          </xdr:cNvPr>
          <xdr:cNvSpPr>
            <a:spLocks/>
          </xdr:cNvSpPr>
        </xdr:nvSpPr>
        <xdr:spPr bwMode="auto">
          <a:xfrm>
            <a:off x="890" y="170"/>
            <a:ext cx="37" cy="8"/>
          </a:xfrm>
          <a:custGeom>
            <a:avLst/>
            <a:gdLst>
              <a:gd name="T0" fmla="*/ 0 w 1776"/>
              <a:gd name="T1" fmla="*/ 0 h 367"/>
              <a:gd name="T2" fmla="*/ 0 w 1776"/>
              <a:gd name="T3" fmla="*/ 0 h 367"/>
              <a:gd name="T4" fmla="*/ 0 w 1776"/>
              <a:gd name="T5" fmla="*/ 0 h 367"/>
              <a:gd name="T6" fmla="*/ 0 w 1776"/>
              <a:gd name="T7" fmla="*/ 0 h 367"/>
              <a:gd name="T8" fmla="*/ 0 60000 65536"/>
              <a:gd name="T9" fmla="*/ 0 60000 65536"/>
              <a:gd name="T10" fmla="*/ 0 60000 65536"/>
              <a:gd name="T11" fmla="*/ 0 60000 65536"/>
              <a:gd name="T12" fmla="*/ 0 w 1776"/>
              <a:gd name="T13" fmla="*/ 0 h 367"/>
              <a:gd name="T14" fmla="*/ 1776 w 1776"/>
              <a:gd name="T15" fmla="*/ 367 h 367"/>
            </a:gdLst>
            <a:ahLst/>
            <a:cxnLst>
              <a:cxn ang="T8">
                <a:pos x="T0" y="T1"/>
              </a:cxn>
              <a:cxn ang="T9">
                <a:pos x="T2" y="T3"/>
              </a:cxn>
              <a:cxn ang="T10">
                <a:pos x="T4" y="T5"/>
              </a:cxn>
              <a:cxn ang="T11">
                <a:pos x="T6" y="T7"/>
              </a:cxn>
            </a:cxnLst>
            <a:rect l="T12" t="T13" r="T14" b="T15"/>
            <a:pathLst>
              <a:path w="1776" h="367">
                <a:moveTo>
                  <a:pt x="193" y="0"/>
                </a:moveTo>
                <a:lnTo>
                  <a:pt x="0" y="195"/>
                </a:lnTo>
                <a:lnTo>
                  <a:pt x="1776" y="367"/>
                </a:lnTo>
                <a:lnTo>
                  <a:pt x="193"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5" name="Freeform 74">
            <a:extLst>
              <a:ext uri="{FF2B5EF4-FFF2-40B4-BE49-F238E27FC236}">
                <a16:creationId xmlns:a16="http://schemas.microsoft.com/office/drawing/2014/main" id="{00000000-0008-0000-0100-00004B000000}"/>
              </a:ext>
            </a:extLst>
          </xdr:cNvPr>
          <xdr:cNvSpPr>
            <a:spLocks/>
          </xdr:cNvSpPr>
        </xdr:nvSpPr>
        <xdr:spPr bwMode="auto">
          <a:xfrm>
            <a:off x="847" y="170"/>
            <a:ext cx="36" cy="8"/>
          </a:xfrm>
          <a:custGeom>
            <a:avLst/>
            <a:gdLst>
              <a:gd name="T0" fmla="*/ 0 w 1777"/>
              <a:gd name="T1" fmla="*/ 0 h 367"/>
              <a:gd name="T2" fmla="*/ 0 w 1777"/>
              <a:gd name="T3" fmla="*/ 0 h 367"/>
              <a:gd name="T4" fmla="*/ 0 w 1777"/>
              <a:gd name="T5" fmla="*/ 0 h 367"/>
              <a:gd name="T6" fmla="*/ 0 w 1777"/>
              <a:gd name="T7" fmla="*/ 0 h 367"/>
              <a:gd name="T8" fmla="*/ 0 60000 65536"/>
              <a:gd name="T9" fmla="*/ 0 60000 65536"/>
              <a:gd name="T10" fmla="*/ 0 60000 65536"/>
              <a:gd name="T11" fmla="*/ 0 60000 65536"/>
              <a:gd name="T12" fmla="*/ 0 w 1777"/>
              <a:gd name="T13" fmla="*/ 0 h 367"/>
              <a:gd name="T14" fmla="*/ 1777 w 1777"/>
              <a:gd name="T15" fmla="*/ 367 h 367"/>
            </a:gdLst>
            <a:ahLst/>
            <a:cxnLst>
              <a:cxn ang="T8">
                <a:pos x="T0" y="T1"/>
              </a:cxn>
              <a:cxn ang="T9">
                <a:pos x="T2" y="T3"/>
              </a:cxn>
              <a:cxn ang="T10">
                <a:pos x="T4" y="T5"/>
              </a:cxn>
              <a:cxn ang="T11">
                <a:pos x="T6" y="T7"/>
              </a:cxn>
            </a:cxnLst>
            <a:rect l="T12" t="T13" r="T14" b="T15"/>
            <a:pathLst>
              <a:path w="1777" h="367">
                <a:moveTo>
                  <a:pt x="1582" y="0"/>
                </a:moveTo>
                <a:lnTo>
                  <a:pt x="0" y="367"/>
                </a:lnTo>
                <a:lnTo>
                  <a:pt x="1777" y="195"/>
                </a:lnTo>
                <a:lnTo>
                  <a:pt x="1582" y="0"/>
                </a:lnTo>
                <a:close/>
              </a:path>
            </a:pathLst>
          </a:custGeom>
          <a:solidFill>
            <a:srgbClr val="000000"/>
          </a:solidFill>
          <a:ln w="12700">
            <a:solidFill>
              <a:srgbClr val="000000"/>
            </a:solidFill>
            <a:round/>
            <a:headEnd/>
            <a:tailEnd/>
          </a:ln>
        </xdr:spPr>
      </xdr:sp>
      <xdr:sp macro="" textlink="">
        <xdr:nvSpPr>
          <xdr:cNvPr id="76" name="Freeform 75">
            <a:extLst>
              <a:ext uri="{FF2B5EF4-FFF2-40B4-BE49-F238E27FC236}">
                <a16:creationId xmlns:a16="http://schemas.microsoft.com/office/drawing/2014/main" id="{00000000-0008-0000-0100-00004C000000}"/>
              </a:ext>
            </a:extLst>
          </xdr:cNvPr>
          <xdr:cNvSpPr>
            <a:spLocks/>
          </xdr:cNvSpPr>
        </xdr:nvSpPr>
        <xdr:spPr bwMode="auto">
          <a:xfrm>
            <a:off x="847" y="170"/>
            <a:ext cx="36" cy="8"/>
          </a:xfrm>
          <a:custGeom>
            <a:avLst/>
            <a:gdLst>
              <a:gd name="T0" fmla="*/ 0 w 1777"/>
              <a:gd name="T1" fmla="*/ 0 h 367"/>
              <a:gd name="T2" fmla="*/ 0 w 1777"/>
              <a:gd name="T3" fmla="*/ 0 h 367"/>
              <a:gd name="T4" fmla="*/ 0 w 1777"/>
              <a:gd name="T5" fmla="*/ 0 h 367"/>
              <a:gd name="T6" fmla="*/ 0 w 1777"/>
              <a:gd name="T7" fmla="*/ 0 h 367"/>
              <a:gd name="T8" fmla="*/ 0 60000 65536"/>
              <a:gd name="T9" fmla="*/ 0 60000 65536"/>
              <a:gd name="T10" fmla="*/ 0 60000 65536"/>
              <a:gd name="T11" fmla="*/ 0 60000 65536"/>
              <a:gd name="T12" fmla="*/ 0 w 1777"/>
              <a:gd name="T13" fmla="*/ 0 h 367"/>
              <a:gd name="T14" fmla="*/ 1777 w 1777"/>
              <a:gd name="T15" fmla="*/ 367 h 367"/>
            </a:gdLst>
            <a:ahLst/>
            <a:cxnLst>
              <a:cxn ang="T8">
                <a:pos x="T0" y="T1"/>
              </a:cxn>
              <a:cxn ang="T9">
                <a:pos x="T2" y="T3"/>
              </a:cxn>
              <a:cxn ang="T10">
                <a:pos x="T4" y="T5"/>
              </a:cxn>
              <a:cxn ang="T11">
                <a:pos x="T6" y="T7"/>
              </a:cxn>
            </a:cxnLst>
            <a:rect l="T12" t="T13" r="T14" b="T15"/>
            <a:pathLst>
              <a:path w="1777" h="367">
                <a:moveTo>
                  <a:pt x="1582" y="0"/>
                </a:moveTo>
                <a:lnTo>
                  <a:pt x="0" y="367"/>
                </a:lnTo>
                <a:lnTo>
                  <a:pt x="1777" y="195"/>
                </a:lnTo>
                <a:lnTo>
                  <a:pt x="158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7" name="Freeform 76">
            <a:extLst>
              <a:ext uri="{FF2B5EF4-FFF2-40B4-BE49-F238E27FC236}">
                <a16:creationId xmlns:a16="http://schemas.microsoft.com/office/drawing/2014/main" id="{00000000-0008-0000-0100-00004D000000}"/>
              </a:ext>
            </a:extLst>
          </xdr:cNvPr>
          <xdr:cNvSpPr>
            <a:spLocks/>
          </xdr:cNvSpPr>
        </xdr:nvSpPr>
        <xdr:spPr bwMode="auto">
          <a:xfrm>
            <a:off x="879" y="159"/>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365" y="0"/>
                </a:moveTo>
                <a:lnTo>
                  <a:pt x="0" y="551"/>
                </a:lnTo>
                <a:lnTo>
                  <a:pt x="195" y="746"/>
                </a:lnTo>
                <a:lnTo>
                  <a:pt x="365" y="0"/>
                </a:lnTo>
                <a:close/>
              </a:path>
            </a:pathLst>
          </a:custGeom>
          <a:solidFill>
            <a:srgbClr val="000000"/>
          </a:solidFill>
          <a:ln w="12700">
            <a:solidFill>
              <a:srgbClr val="000000"/>
            </a:solidFill>
            <a:round/>
            <a:headEnd/>
            <a:tailEnd/>
          </a:ln>
        </xdr:spPr>
      </xdr:sp>
      <xdr:sp macro="" textlink="">
        <xdr:nvSpPr>
          <xdr:cNvPr id="78" name="Freeform 77">
            <a:extLst>
              <a:ext uri="{FF2B5EF4-FFF2-40B4-BE49-F238E27FC236}">
                <a16:creationId xmlns:a16="http://schemas.microsoft.com/office/drawing/2014/main" id="{00000000-0008-0000-0100-00004E000000}"/>
              </a:ext>
            </a:extLst>
          </xdr:cNvPr>
          <xdr:cNvSpPr>
            <a:spLocks/>
          </xdr:cNvSpPr>
        </xdr:nvSpPr>
        <xdr:spPr bwMode="auto">
          <a:xfrm>
            <a:off x="879" y="159"/>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365" y="0"/>
                </a:moveTo>
                <a:lnTo>
                  <a:pt x="0" y="551"/>
                </a:lnTo>
                <a:lnTo>
                  <a:pt x="195" y="746"/>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9" name="Freeform 78">
            <a:extLst>
              <a:ext uri="{FF2B5EF4-FFF2-40B4-BE49-F238E27FC236}">
                <a16:creationId xmlns:a16="http://schemas.microsoft.com/office/drawing/2014/main" id="{00000000-0008-0000-0100-00004F000000}"/>
              </a:ext>
            </a:extLst>
          </xdr:cNvPr>
          <xdr:cNvSpPr>
            <a:spLocks/>
          </xdr:cNvSpPr>
        </xdr:nvSpPr>
        <xdr:spPr bwMode="auto">
          <a:xfrm>
            <a:off x="887" y="159"/>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0" y="0"/>
                </a:moveTo>
                <a:lnTo>
                  <a:pt x="172" y="746"/>
                </a:lnTo>
                <a:lnTo>
                  <a:pt x="365" y="551"/>
                </a:lnTo>
                <a:lnTo>
                  <a:pt x="0" y="0"/>
                </a:lnTo>
                <a:close/>
              </a:path>
            </a:pathLst>
          </a:custGeom>
          <a:solidFill>
            <a:srgbClr val="000000"/>
          </a:solidFill>
          <a:ln w="12700">
            <a:solidFill>
              <a:srgbClr val="000000"/>
            </a:solidFill>
            <a:round/>
            <a:headEnd/>
            <a:tailEnd/>
          </a:ln>
        </xdr:spPr>
      </xdr:sp>
      <xdr:sp macro="" textlink="">
        <xdr:nvSpPr>
          <xdr:cNvPr id="80" name="Freeform 79">
            <a:extLst>
              <a:ext uri="{FF2B5EF4-FFF2-40B4-BE49-F238E27FC236}">
                <a16:creationId xmlns:a16="http://schemas.microsoft.com/office/drawing/2014/main" id="{00000000-0008-0000-0100-000050000000}"/>
              </a:ext>
            </a:extLst>
          </xdr:cNvPr>
          <xdr:cNvSpPr>
            <a:spLocks/>
          </xdr:cNvSpPr>
        </xdr:nvSpPr>
        <xdr:spPr bwMode="auto">
          <a:xfrm>
            <a:off x="887" y="159"/>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0" y="0"/>
                </a:moveTo>
                <a:lnTo>
                  <a:pt x="172" y="746"/>
                </a:lnTo>
                <a:lnTo>
                  <a:pt x="365" y="551"/>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Freeform 80">
            <a:extLst>
              <a:ext uri="{FF2B5EF4-FFF2-40B4-BE49-F238E27FC236}">
                <a16:creationId xmlns:a16="http://schemas.microsoft.com/office/drawing/2014/main" id="{00000000-0008-0000-0100-000051000000}"/>
              </a:ext>
            </a:extLst>
          </xdr:cNvPr>
          <xdr:cNvSpPr>
            <a:spLocks/>
          </xdr:cNvSpPr>
        </xdr:nvSpPr>
        <xdr:spPr bwMode="auto">
          <a:xfrm>
            <a:off x="879" y="138"/>
            <a:ext cx="8"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365" y="0"/>
                </a:moveTo>
                <a:lnTo>
                  <a:pt x="0" y="1590"/>
                </a:lnTo>
                <a:lnTo>
                  <a:pt x="365" y="1039"/>
                </a:lnTo>
                <a:lnTo>
                  <a:pt x="365" y="0"/>
                </a:lnTo>
                <a:close/>
              </a:path>
            </a:pathLst>
          </a:custGeom>
          <a:solidFill>
            <a:srgbClr val="000000"/>
          </a:solidFill>
          <a:ln w="12700">
            <a:solidFill>
              <a:srgbClr val="000000"/>
            </a:solidFill>
            <a:round/>
            <a:headEnd/>
            <a:tailEnd/>
          </a:ln>
        </xdr:spPr>
      </xdr:sp>
      <xdr:sp macro="" textlink="">
        <xdr:nvSpPr>
          <xdr:cNvPr id="82" name="Freeform 81">
            <a:extLst>
              <a:ext uri="{FF2B5EF4-FFF2-40B4-BE49-F238E27FC236}">
                <a16:creationId xmlns:a16="http://schemas.microsoft.com/office/drawing/2014/main" id="{00000000-0008-0000-0100-000052000000}"/>
              </a:ext>
            </a:extLst>
          </xdr:cNvPr>
          <xdr:cNvSpPr>
            <a:spLocks/>
          </xdr:cNvSpPr>
        </xdr:nvSpPr>
        <xdr:spPr bwMode="auto">
          <a:xfrm>
            <a:off x="879" y="138"/>
            <a:ext cx="8"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365" y="0"/>
                </a:moveTo>
                <a:lnTo>
                  <a:pt x="0" y="1590"/>
                </a:lnTo>
                <a:lnTo>
                  <a:pt x="365" y="1039"/>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3" name="Freeform 82">
            <a:extLst>
              <a:ext uri="{FF2B5EF4-FFF2-40B4-BE49-F238E27FC236}">
                <a16:creationId xmlns:a16="http://schemas.microsoft.com/office/drawing/2014/main" id="{00000000-0008-0000-0100-000053000000}"/>
              </a:ext>
            </a:extLst>
          </xdr:cNvPr>
          <xdr:cNvSpPr>
            <a:spLocks/>
          </xdr:cNvSpPr>
        </xdr:nvSpPr>
        <xdr:spPr bwMode="auto">
          <a:xfrm>
            <a:off x="887" y="138"/>
            <a:ext cx="7"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0" y="0"/>
                </a:moveTo>
                <a:lnTo>
                  <a:pt x="0" y="1039"/>
                </a:lnTo>
                <a:lnTo>
                  <a:pt x="365" y="1590"/>
                </a:lnTo>
                <a:lnTo>
                  <a:pt x="0" y="0"/>
                </a:lnTo>
                <a:close/>
              </a:path>
            </a:pathLst>
          </a:custGeom>
          <a:solidFill>
            <a:srgbClr val="000000"/>
          </a:solidFill>
          <a:ln w="12700">
            <a:solidFill>
              <a:srgbClr val="000000"/>
            </a:solidFill>
            <a:round/>
            <a:headEnd/>
            <a:tailEnd/>
          </a:ln>
        </xdr:spPr>
      </xdr:sp>
      <xdr:sp macro="" textlink="">
        <xdr:nvSpPr>
          <xdr:cNvPr id="84" name="Freeform 83">
            <a:extLst>
              <a:ext uri="{FF2B5EF4-FFF2-40B4-BE49-F238E27FC236}">
                <a16:creationId xmlns:a16="http://schemas.microsoft.com/office/drawing/2014/main" id="{00000000-0008-0000-0100-000054000000}"/>
              </a:ext>
            </a:extLst>
          </xdr:cNvPr>
          <xdr:cNvSpPr>
            <a:spLocks/>
          </xdr:cNvSpPr>
        </xdr:nvSpPr>
        <xdr:spPr bwMode="auto">
          <a:xfrm>
            <a:off x="887" y="138"/>
            <a:ext cx="7"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0" y="0"/>
                </a:moveTo>
                <a:lnTo>
                  <a:pt x="0" y="1039"/>
                </a:lnTo>
                <a:lnTo>
                  <a:pt x="365" y="159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Line 34">
            <a:extLst>
              <a:ext uri="{FF2B5EF4-FFF2-40B4-BE49-F238E27FC236}">
                <a16:creationId xmlns:a16="http://schemas.microsoft.com/office/drawing/2014/main" id="{00000000-0008-0000-0100-000055000000}"/>
              </a:ext>
            </a:extLst>
          </xdr:cNvPr>
          <xdr:cNvSpPr>
            <a:spLocks noChangeShapeType="1"/>
          </xdr:cNvSpPr>
        </xdr:nvSpPr>
        <xdr:spPr bwMode="auto">
          <a:xfrm flipH="1" flipV="1">
            <a:off x="887" y="138"/>
            <a:ext cx="7" cy="3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Line 35">
            <a:extLst>
              <a:ext uri="{FF2B5EF4-FFF2-40B4-BE49-F238E27FC236}">
                <a16:creationId xmlns:a16="http://schemas.microsoft.com/office/drawing/2014/main" id="{00000000-0008-0000-0100-000056000000}"/>
              </a:ext>
            </a:extLst>
          </xdr:cNvPr>
          <xdr:cNvSpPr>
            <a:spLocks noChangeShapeType="1"/>
          </xdr:cNvSpPr>
        </xdr:nvSpPr>
        <xdr:spPr bwMode="auto">
          <a:xfrm flipH="1">
            <a:off x="879" y="138"/>
            <a:ext cx="8" cy="3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Line 36">
            <a:extLst>
              <a:ext uri="{FF2B5EF4-FFF2-40B4-BE49-F238E27FC236}">
                <a16:creationId xmlns:a16="http://schemas.microsoft.com/office/drawing/2014/main" id="{00000000-0008-0000-0100-000057000000}"/>
              </a:ext>
            </a:extLst>
          </xdr:cNvPr>
          <xdr:cNvSpPr>
            <a:spLocks noChangeShapeType="1"/>
          </xdr:cNvSpPr>
        </xdr:nvSpPr>
        <xdr:spPr bwMode="auto">
          <a:xfrm flipH="1">
            <a:off x="847" y="170"/>
            <a:ext cx="32" cy="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 name="Line 37">
            <a:extLst>
              <a:ext uri="{FF2B5EF4-FFF2-40B4-BE49-F238E27FC236}">
                <a16:creationId xmlns:a16="http://schemas.microsoft.com/office/drawing/2014/main" id="{00000000-0008-0000-0100-000058000000}"/>
              </a:ext>
            </a:extLst>
          </xdr:cNvPr>
          <xdr:cNvSpPr>
            <a:spLocks noChangeShapeType="1"/>
          </xdr:cNvSpPr>
        </xdr:nvSpPr>
        <xdr:spPr bwMode="auto">
          <a:xfrm>
            <a:off x="847" y="178"/>
            <a:ext cx="32" cy="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Line 38">
            <a:extLst>
              <a:ext uri="{FF2B5EF4-FFF2-40B4-BE49-F238E27FC236}">
                <a16:creationId xmlns:a16="http://schemas.microsoft.com/office/drawing/2014/main" id="{00000000-0008-0000-0100-000059000000}"/>
              </a:ext>
            </a:extLst>
          </xdr:cNvPr>
          <xdr:cNvSpPr>
            <a:spLocks noChangeShapeType="1"/>
          </xdr:cNvSpPr>
        </xdr:nvSpPr>
        <xdr:spPr bwMode="auto">
          <a:xfrm>
            <a:off x="879" y="185"/>
            <a:ext cx="8" cy="3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0" name="Line 39">
            <a:extLst>
              <a:ext uri="{FF2B5EF4-FFF2-40B4-BE49-F238E27FC236}">
                <a16:creationId xmlns:a16="http://schemas.microsoft.com/office/drawing/2014/main" id="{00000000-0008-0000-0100-00005A000000}"/>
              </a:ext>
            </a:extLst>
          </xdr:cNvPr>
          <xdr:cNvSpPr>
            <a:spLocks noChangeShapeType="1"/>
          </xdr:cNvSpPr>
        </xdr:nvSpPr>
        <xdr:spPr bwMode="auto">
          <a:xfrm flipV="1">
            <a:off x="887" y="185"/>
            <a:ext cx="7" cy="3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Line 40">
            <a:extLst>
              <a:ext uri="{FF2B5EF4-FFF2-40B4-BE49-F238E27FC236}">
                <a16:creationId xmlns:a16="http://schemas.microsoft.com/office/drawing/2014/main" id="{00000000-0008-0000-0100-00005B000000}"/>
              </a:ext>
            </a:extLst>
          </xdr:cNvPr>
          <xdr:cNvSpPr>
            <a:spLocks noChangeShapeType="1"/>
          </xdr:cNvSpPr>
        </xdr:nvSpPr>
        <xdr:spPr bwMode="auto">
          <a:xfrm flipV="1">
            <a:off x="894" y="178"/>
            <a:ext cx="33" cy="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2" name="Line 41">
            <a:extLst>
              <a:ext uri="{FF2B5EF4-FFF2-40B4-BE49-F238E27FC236}">
                <a16:creationId xmlns:a16="http://schemas.microsoft.com/office/drawing/2014/main" id="{00000000-0008-0000-0100-00005C000000}"/>
              </a:ext>
            </a:extLst>
          </xdr:cNvPr>
          <xdr:cNvSpPr>
            <a:spLocks noChangeShapeType="1"/>
          </xdr:cNvSpPr>
        </xdr:nvSpPr>
        <xdr:spPr bwMode="auto">
          <a:xfrm flipH="1" flipV="1">
            <a:off x="894" y="170"/>
            <a:ext cx="33" cy="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3" name="Line 42">
            <a:extLst>
              <a:ext uri="{FF2B5EF4-FFF2-40B4-BE49-F238E27FC236}">
                <a16:creationId xmlns:a16="http://schemas.microsoft.com/office/drawing/2014/main" id="{00000000-0008-0000-0100-00005D000000}"/>
              </a:ext>
            </a:extLst>
          </xdr:cNvPr>
          <xdr:cNvSpPr>
            <a:spLocks noChangeShapeType="1"/>
          </xdr:cNvSpPr>
        </xdr:nvSpPr>
        <xdr:spPr bwMode="auto">
          <a:xfrm flipH="1" flipV="1">
            <a:off x="887" y="159"/>
            <a:ext cx="3"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4" name="Line 43">
            <a:extLst>
              <a:ext uri="{FF2B5EF4-FFF2-40B4-BE49-F238E27FC236}">
                <a16:creationId xmlns:a16="http://schemas.microsoft.com/office/drawing/2014/main" id="{00000000-0008-0000-0100-00005E000000}"/>
              </a:ext>
            </a:extLst>
          </xdr:cNvPr>
          <xdr:cNvSpPr>
            <a:spLocks noChangeShapeType="1"/>
          </xdr:cNvSpPr>
        </xdr:nvSpPr>
        <xdr:spPr bwMode="auto">
          <a:xfrm flipH="1">
            <a:off x="883" y="159"/>
            <a:ext cx="4"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Line 44">
            <a:extLst>
              <a:ext uri="{FF2B5EF4-FFF2-40B4-BE49-F238E27FC236}">
                <a16:creationId xmlns:a16="http://schemas.microsoft.com/office/drawing/2014/main" id="{00000000-0008-0000-0100-00005F000000}"/>
              </a:ext>
            </a:extLst>
          </xdr:cNvPr>
          <xdr:cNvSpPr>
            <a:spLocks noChangeShapeType="1"/>
          </xdr:cNvSpPr>
        </xdr:nvSpPr>
        <xdr:spPr bwMode="auto">
          <a:xfrm flipH="1">
            <a:off x="868" y="174"/>
            <a:ext cx="15" cy="4"/>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6" name="Line 45">
            <a:extLst>
              <a:ext uri="{FF2B5EF4-FFF2-40B4-BE49-F238E27FC236}">
                <a16:creationId xmlns:a16="http://schemas.microsoft.com/office/drawing/2014/main" id="{00000000-0008-0000-0100-000060000000}"/>
              </a:ext>
            </a:extLst>
          </xdr:cNvPr>
          <xdr:cNvSpPr>
            <a:spLocks noChangeShapeType="1"/>
          </xdr:cNvSpPr>
        </xdr:nvSpPr>
        <xdr:spPr bwMode="auto">
          <a:xfrm>
            <a:off x="868" y="178"/>
            <a:ext cx="15" cy="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7" name="Line 46">
            <a:extLst>
              <a:ext uri="{FF2B5EF4-FFF2-40B4-BE49-F238E27FC236}">
                <a16:creationId xmlns:a16="http://schemas.microsoft.com/office/drawing/2014/main" id="{00000000-0008-0000-0100-000061000000}"/>
              </a:ext>
            </a:extLst>
          </xdr:cNvPr>
          <xdr:cNvSpPr>
            <a:spLocks noChangeShapeType="1"/>
          </xdr:cNvSpPr>
        </xdr:nvSpPr>
        <xdr:spPr bwMode="auto">
          <a:xfrm>
            <a:off x="883" y="181"/>
            <a:ext cx="4"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8" name="Line 47">
            <a:extLst>
              <a:ext uri="{FF2B5EF4-FFF2-40B4-BE49-F238E27FC236}">
                <a16:creationId xmlns:a16="http://schemas.microsoft.com/office/drawing/2014/main" id="{00000000-0008-0000-0100-000062000000}"/>
              </a:ext>
            </a:extLst>
          </xdr:cNvPr>
          <xdr:cNvSpPr>
            <a:spLocks noChangeShapeType="1"/>
          </xdr:cNvSpPr>
        </xdr:nvSpPr>
        <xdr:spPr bwMode="auto">
          <a:xfrm flipV="1">
            <a:off x="887" y="181"/>
            <a:ext cx="3"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9" name="Line 48">
            <a:extLst>
              <a:ext uri="{FF2B5EF4-FFF2-40B4-BE49-F238E27FC236}">
                <a16:creationId xmlns:a16="http://schemas.microsoft.com/office/drawing/2014/main" id="{00000000-0008-0000-0100-000063000000}"/>
              </a:ext>
            </a:extLst>
          </xdr:cNvPr>
          <xdr:cNvSpPr>
            <a:spLocks noChangeShapeType="1"/>
          </xdr:cNvSpPr>
        </xdr:nvSpPr>
        <xdr:spPr bwMode="auto">
          <a:xfrm flipV="1">
            <a:off x="890" y="178"/>
            <a:ext cx="16" cy="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0" name="Line 49">
            <a:extLst>
              <a:ext uri="{FF2B5EF4-FFF2-40B4-BE49-F238E27FC236}">
                <a16:creationId xmlns:a16="http://schemas.microsoft.com/office/drawing/2014/main" id="{00000000-0008-0000-0100-000064000000}"/>
              </a:ext>
            </a:extLst>
          </xdr:cNvPr>
          <xdr:cNvSpPr>
            <a:spLocks noChangeShapeType="1"/>
          </xdr:cNvSpPr>
        </xdr:nvSpPr>
        <xdr:spPr bwMode="auto">
          <a:xfrm flipH="1" flipV="1">
            <a:off x="890" y="174"/>
            <a:ext cx="16" cy="4"/>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1" name="Oval 100">
            <a:extLst>
              <a:ext uri="{FF2B5EF4-FFF2-40B4-BE49-F238E27FC236}">
                <a16:creationId xmlns:a16="http://schemas.microsoft.com/office/drawing/2014/main" id="{00000000-0008-0000-0100-000065000000}"/>
              </a:ext>
            </a:extLst>
          </xdr:cNvPr>
          <xdr:cNvSpPr>
            <a:spLocks noChangeArrowheads="1"/>
          </xdr:cNvSpPr>
        </xdr:nvSpPr>
        <xdr:spPr bwMode="auto">
          <a:xfrm>
            <a:off x="846" y="138"/>
            <a:ext cx="81" cy="81"/>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33</xdr:row>
      <xdr:rowOff>152400</xdr:rowOff>
    </xdr:from>
    <xdr:to>
      <xdr:col>2</xdr:col>
      <xdr:colOff>152400</xdr:colOff>
      <xdr:row>34</xdr:row>
      <xdr:rowOff>238125</xdr:rowOff>
    </xdr:to>
    <xdr:grpSp>
      <xdr:nvGrpSpPr>
        <xdr:cNvPr id="385574" name="Group 1">
          <a:extLst>
            <a:ext uri="{FF2B5EF4-FFF2-40B4-BE49-F238E27FC236}">
              <a16:creationId xmlns:a16="http://schemas.microsoft.com/office/drawing/2014/main" id="{00000000-0008-0000-0200-000026E20500}"/>
            </a:ext>
          </a:extLst>
        </xdr:cNvPr>
        <xdr:cNvGrpSpPr>
          <a:grpSpLocks/>
        </xdr:cNvGrpSpPr>
      </xdr:nvGrpSpPr>
      <xdr:grpSpPr bwMode="auto">
        <a:xfrm>
          <a:off x="271182" y="10697135"/>
          <a:ext cx="497542" cy="466725"/>
          <a:chOff x="846" y="138"/>
          <a:chExt cx="81" cy="81"/>
        </a:xfrm>
      </xdr:grpSpPr>
      <xdr:sp macro="" textlink="">
        <xdr:nvSpPr>
          <xdr:cNvPr id="385575" name="Freeform 2">
            <a:extLst>
              <a:ext uri="{FF2B5EF4-FFF2-40B4-BE49-F238E27FC236}">
                <a16:creationId xmlns:a16="http://schemas.microsoft.com/office/drawing/2014/main" id="{00000000-0008-0000-0200-000027E20500}"/>
              </a:ext>
            </a:extLst>
          </xdr:cNvPr>
          <xdr:cNvSpPr>
            <a:spLocks/>
          </xdr:cNvSpPr>
        </xdr:nvSpPr>
        <xdr:spPr bwMode="auto">
          <a:xfrm>
            <a:off x="887" y="185"/>
            <a:ext cx="7"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365" y="0"/>
                </a:moveTo>
                <a:lnTo>
                  <a:pt x="0" y="550"/>
                </a:lnTo>
                <a:lnTo>
                  <a:pt x="0" y="1591"/>
                </a:lnTo>
                <a:lnTo>
                  <a:pt x="365" y="0"/>
                </a:lnTo>
                <a:close/>
              </a:path>
            </a:pathLst>
          </a:custGeom>
          <a:solidFill>
            <a:srgbClr val="000000"/>
          </a:solidFill>
          <a:ln w="12700">
            <a:solidFill>
              <a:srgbClr val="000000"/>
            </a:solidFill>
            <a:round/>
            <a:headEnd/>
            <a:tailEnd/>
          </a:ln>
        </xdr:spPr>
      </xdr:sp>
      <xdr:sp macro="" textlink="">
        <xdr:nvSpPr>
          <xdr:cNvPr id="385576" name="Freeform 3">
            <a:extLst>
              <a:ext uri="{FF2B5EF4-FFF2-40B4-BE49-F238E27FC236}">
                <a16:creationId xmlns:a16="http://schemas.microsoft.com/office/drawing/2014/main" id="{00000000-0008-0000-0200-000028E20500}"/>
              </a:ext>
            </a:extLst>
          </xdr:cNvPr>
          <xdr:cNvSpPr>
            <a:spLocks/>
          </xdr:cNvSpPr>
        </xdr:nvSpPr>
        <xdr:spPr bwMode="auto">
          <a:xfrm>
            <a:off x="887" y="185"/>
            <a:ext cx="7"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365" y="0"/>
                </a:moveTo>
                <a:lnTo>
                  <a:pt x="0" y="550"/>
                </a:lnTo>
                <a:lnTo>
                  <a:pt x="0" y="1591"/>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5577" name="Freeform 4">
            <a:extLst>
              <a:ext uri="{FF2B5EF4-FFF2-40B4-BE49-F238E27FC236}">
                <a16:creationId xmlns:a16="http://schemas.microsoft.com/office/drawing/2014/main" id="{00000000-0008-0000-0200-000029E20500}"/>
              </a:ext>
            </a:extLst>
          </xdr:cNvPr>
          <xdr:cNvSpPr>
            <a:spLocks/>
          </xdr:cNvSpPr>
        </xdr:nvSpPr>
        <xdr:spPr bwMode="auto">
          <a:xfrm>
            <a:off x="879" y="185"/>
            <a:ext cx="8"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0" y="0"/>
                </a:moveTo>
                <a:lnTo>
                  <a:pt x="365" y="1591"/>
                </a:lnTo>
                <a:lnTo>
                  <a:pt x="365" y="550"/>
                </a:lnTo>
                <a:lnTo>
                  <a:pt x="0" y="0"/>
                </a:lnTo>
                <a:close/>
              </a:path>
            </a:pathLst>
          </a:custGeom>
          <a:solidFill>
            <a:srgbClr val="000000"/>
          </a:solidFill>
          <a:ln w="12700">
            <a:solidFill>
              <a:srgbClr val="000000"/>
            </a:solidFill>
            <a:round/>
            <a:headEnd/>
            <a:tailEnd/>
          </a:ln>
        </xdr:spPr>
      </xdr:sp>
      <xdr:sp macro="" textlink="">
        <xdr:nvSpPr>
          <xdr:cNvPr id="385578" name="Freeform 5">
            <a:extLst>
              <a:ext uri="{FF2B5EF4-FFF2-40B4-BE49-F238E27FC236}">
                <a16:creationId xmlns:a16="http://schemas.microsoft.com/office/drawing/2014/main" id="{00000000-0008-0000-0200-00002AE20500}"/>
              </a:ext>
            </a:extLst>
          </xdr:cNvPr>
          <xdr:cNvSpPr>
            <a:spLocks/>
          </xdr:cNvSpPr>
        </xdr:nvSpPr>
        <xdr:spPr bwMode="auto">
          <a:xfrm>
            <a:off x="879" y="185"/>
            <a:ext cx="8"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0" y="0"/>
                </a:moveTo>
                <a:lnTo>
                  <a:pt x="365" y="1591"/>
                </a:lnTo>
                <a:lnTo>
                  <a:pt x="365" y="55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5579" name="Freeform 6">
            <a:extLst>
              <a:ext uri="{FF2B5EF4-FFF2-40B4-BE49-F238E27FC236}">
                <a16:creationId xmlns:a16="http://schemas.microsoft.com/office/drawing/2014/main" id="{00000000-0008-0000-0200-00002BE20500}"/>
              </a:ext>
            </a:extLst>
          </xdr:cNvPr>
          <xdr:cNvSpPr>
            <a:spLocks/>
          </xdr:cNvSpPr>
        </xdr:nvSpPr>
        <xdr:spPr bwMode="auto">
          <a:xfrm>
            <a:off x="887" y="181"/>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72" y="0"/>
                </a:moveTo>
                <a:lnTo>
                  <a:pt x="0" y="746"/>
                </a:lnTo>
                <a:lnTo>
                  <a:pt x="365" y="196"/>
                </a:lnTo>
                <a:lnTo>
                  <a:pt x="172" y="0"/>
                </a:lnTo>
                <a:close/>
              </a:path>
            </a:pathLst>
          </a:custGeom>
          <a:solidFill>
            <a:srgbClr val="000000"/>
          </a:solidFill>
          <a:ln w="12700">
            <a:solidFill>
              <a:srgbClr val="000000"/>
            </a:solidFill>
            <a:round/>
            <a:headEnd/>
            <a:tailEnd/>
          </a:ln>
        </xdr:spPr>
      </xdr:sp>
      <xdr:sp macro="" textlink="">
        <xdr:nvSpPr>
          <xdr:cNvPr id="385580" name="Freeform 7">
            <a:extLst>
              <a:ext uri="{FF2B5EF4-FFF2-40B4-BE49-F238E27FC236}">
                <a16:creationId xmlns:a16="http://schemas.microsoft.com/office/drawing/2014/main" id="{00000000-0008-0000-0200-00002CE20500}"/>
              </a:ext>
            </a:extLst>
          </xdr:cNvPr>
          <xdr:cNvSpPr>
            <a:spLocks/>
          </xdr:cNvSpPr>
        </xdr:nvSpPr>
        <xdr:spPr bwMode="auto">
          <a:xfrm>
            <a:off x="887" y="181"/>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72" y="0"/>
                </a:moveTo>
                <a:lnTo>
                  <a:pt x="0" y="746"/>
                </a:lnTo>
                <a:lnTo>
                  <a:pt x="365" y="196"/>
                </a:lnTo>
                <a:lnTo>
                  <a:pt x="17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5581" name="Freeform 8">
            <a:extLst>
              <a:ext uri="{FF2B5EF4-FFF2-40B4-BE49-F238E27FC236}">
                <a16:creationId xmlns:a16="http://schemas.microsoft.com/office/drawing/2014/main" id="{00000000-0008-0000-0200-00002DE20500}"/>
              </a:ext>
            </a:extLst>
          </xdr:cNvPr>
          <xdr:cNvSpPr>
            <a:spLocks/>
          </xdr:cNvSpPr>
        </xdr:nvSpPr>
        <xdr:spPr bwMode="auto">
          <a:xfrm>
            <a:off x="879" y="181"/>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95" y="0"/>
                </a:moveTo>
                <a:lnTo>
                  <a:pt x="0" y="196"/>
                </a:lnTo>
                <a:lnTo>
                  <a:pt x="365" y="746"/>
                </a:lnTo>
                <a:lnTo>
                  <a:pt x="195" y="0"/>
                </a:lnTo>
                <a:close/>
              </a:path>
            </a:pathLst>
          </a:custGeom>
          <a:solidFill>
            <a:srgbClr val="000000"/>
          </a:solidFill>
          <a:ln w="12700">
            <a:solidFill>
              <a:srgbClr val="000000"/>
            </a:solidFill>
            <a:round/>
            <a:headEnd/>
            <a:tailEnd/>
          </a:ln>
        </xdr:spPr>
      </xdr:sp>
      <xdr:sp macro="" textlink="">
        <xdr:nvSpPr>
          <xdr:cNvPr id="385582" name="Freeform 9">
            <a:extLst>
              <a:ext uri="{FF2B5EF4-FFF2-40B4-BE49-F238E27FC236}">
                <a16:creationId xmlns:a16="http://schemas.microsoft.com/office/drawing/2014/main" id="{00000000-0008-0000-0200-00002EE20500}"/>
              </a:ext>
            </a:extLst>
          </xdr:cNvPr>
          <xdr:cNvSpPr>
            <a:spLocks/>
          </xdr:cNvSpPr>
        </xdr:nvSpPr>
        <xdr:spPr bwMode="auto">
          <a:xfrm>
            <a:off x="879" y="181"/>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95" y="0"/>
                </a:moveTo>
                <a:lnTo>
                  <a:pt x="0" y="196"/>
                </a:lnTo>
                <a:lnTo>
                  <a:pt x="365" y="746"/>
                </a:lnTo>
                <a:lnTo>
                  <a:pt x="19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5583" name="Freeform 10">
            <a:extLst>
              <a:ext uri="{FF2B5EF4-FFF2-40B4-BE49-F238E27FC236}">
                <a16:creationId xmlns:a16="http://schemas.microsoft.com/office/drawing/2014/main" id="{00000000-0008-0000-0200-00002FE20500}"/>
              </a:ext>
            </a:extLst>
          </xdr:cNvPr>
          <xdr:cNvSpPr>
            <a:spLocks/>
          </xdr:cNvSpPr>
        </xdr:nvSpPr>
        <xdr:spPr bwMode="auto">
          <a:xfrm>
            <a:off x="890" y="178"/>
            <a:ext cx="37" cy="7"/>
          </a:xfrm>
          <a:custGeom>
            <a:avLst/>
            <a:gdLst>
              <a:gd name="T0" fmla="*/ 0 w 1776"/>
              <a:gd name="T1" fmla="*/ 0 h 368"/>
              <a:gd name="T2" fmla="*/ 0 w 1776"/>
              <a:gd name="T3" fmla="*/ 0 h 368"/>
              <a:gd name="T4" fmla="*/ 0 w 1776"/>
              <a:gd name="T5" fmla="*/ 0 h 368"/>
              <a:gd name="T6" fmla="*/ 0 w 1776"/>
              <a:gd name="T7" fmla="*/ 0 h 368"/>
              <a:gd name="T8" fmla="*/ 0 60000 65536"/>
              <a:gd name="T9" fmla="*/ 0 60000 65536"/>
              <a:gd name="T10" fmla="*/ 0 60000 65536"/>
              <a:gd name="T11" fmla="*/ 0 60000 65536"/>
              <a:gd name="T12" fmla="*/ 0 w 1776"/>
              <a:gd name="T13" fmla="*/ 0 h 368"/>
              <a:gd name="T14" fmla="*/ 1776 w 1776"/>
              <a:gd name="T15" fmla="*/ 368 h 368"/>
            </a:gdLst>
            <a:ahLst/>
            <a:cxnLst>
              <a:cxn ang="T8">
                <a:pos x="T0" y="T1"/>
              </a:cxn>
              <a:cxn ang="T9">
                <a:pos x="T2" y="T3"/>
              </a:cxn>
              <a:cxn ang="T10">
                <a:pos x="T4" y="T5"/>
              </a:cxn>
              <a:cxn ang="T11">
                <a:pos x="T6" y="T7"/>
              </a:cxn>
            </a:cxnLst>
            <a:rect l="T12" t="T13" r="T14" b="T15"/>
            <a:pathLst>
              <a:path w="1776" h="368">
                <a:moveTo>
                  <a:pt x="1776" y="0"/>
                </a:moveTo>
                <a:lnTo>
                  <a:pt x="0" y="172"/>
                </a:lnTo>
                <a:lnTo>
                  <a:pt x="193" y="368"/>
                </a:lnTo>
                <a:lnTo>
                  <a:pt x="1776" y="0"/>
                </a:lnTo>
                <a:close/>
              </a:path>
            </a:pathLst>
          </a:custGeom>
          <a:solidFill>
            <a:srgbClr val="000000"/>
          </a:solidFill>
          <a:ln w="12700">
            <a:solidFill>
              <a:srgbClr val="000000"/>
            </a:solidFill>
            <a:round/>
            <a:headEnd/>
            <a:tailEnd/>
          </a:ln>
        </xdr:spPr>
      </xdr:sp>
      <xdr:sp macro="" textlink="">
        <xdr:nvSpPr>
          <xdr:cNvPr id="385584" name="Freeform 11">
            <a:extLst>
              <a:ext uri="{FF2B5EF4-FFF2-40B4-BE49-F238E27FC236}">
                <a16:creationId xmlns:a16="http://schemas.microsoft.com/office/drawing/2014/main" id="{00000000-0008-0000-0200-000030E20500}"/>
              </a:ext>
            </a:extLst>
          </xdr:cNvPr>
          <xdr:cNvSpPr>
            <a:spLocks/>
          </xdr:cNvSpPr>
        </xdr:nvSpPr>
        <xdr:spPr bwMode="auto">
          <a:xfrm>
            <a:off x="890" y="178"/>
            <a:ext cx="37" cy="7"/>
          </a:xfrm>
          <a:custGeom>
            <a:avLst/>
            <a:gdLst>
              <a:gd name="T0" fmla="*/ 0 w 1776"/>
              <a:gd name="T1" fmla="*/ 0 h 368"/>
              <a:gd name="T2" fmla="*/ 0 w 1776"/>
              <a:gd name="T3" fmla="*/ 0 h 368"/>
              <a:gd name="T4" fmla="*/ 0 w 1776"/>
              <a:gd name="T5" fmla="*/ 0 h 368"/>
              <a:gd name="T6" fmla="*/ 0 w 1776"/>
              <a:gd name="T7" fmla="*/ 0 h 368"/>
              <a:gd name="T8" fmla="*/ 0 60000 65536"/>
              <a:gd name="T9" fmla="*/ 0 60000 65536"/>
              <a:gd name="T10" fmla="*/ 0 60000 65536"/>
              <a:gd name="T11" fmla="*/ 0 60000 65536"/>
              <a:gd name="T12" fmla="*/ 0 w 1776"/>
              <a:gd name="T13" fmla="*/ 0 h 368"/>
              <a:gd name="T14" fmla="*/ 1776 w 1776"/>
              <a:gd name="T15" fmla="*/ 368 h 368"/>
            </a:gdLst>
            <a:ahLst/>
            <a:cxnLst>
              <a:cxn ang="T8">
                <a:pos x="T0" y="T1"/>
              </a:cxn>
              <a:cxn ang="T9">
                <a:pos x="T2" y="T3"/>
              </a:cxn>
              <a:cxn ang="T10">
                <a:pos x="T4" y="T5"/>
              </a:cxn>
              <a:cxn ang="T11">
                <a:pos x="T6" y="T7"/>
              </a:cxn>
            </a:cxnLst>
            <a:rect l="T12" t="T13" r="T14" b="T15"/>
            <a:pathLst>
              <a:path w="1776" h="368">
                <a:moveTo>
                  <a:pt x="1776" y="0"/>
                </a:moveTo>
                <a:lnTo>
                  <a:pt x="0" y="172"/>
                </a:lnTo>
                <a:lnTo>
                  <a:pt x="193" y="368"/>
                </a:lnTo>
                <a:lnTo>
                  <a:pt x="1776"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5585" name="Freeform 12">
            <a:extLst>
              <a:ext uri="{FF2B5EF4-FFF2-40B4-BE49-F238E27FC236}">
                <a16:creationId xmlns:a16="http://schemas.microsoft.com/office/drawing/2014/main" id="{00000000-0008-0000-0200-000031E20500}"/>
              </a:ext>
            </a:extLst>
          </xdr:cNvPr>
          <xdr:cNvSpPr>
            <a:spLocks/>
          </xdr:cNvSpPr>
        </xdr:nvSpPr>
        <xdr:spPr bwMode="auto">
          <a:xfrm>
            <a:off x="890" y="178"/>
            <a:ext cx="37" cy="3"/>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742" y="0"/>
                </a:moveTo>
                <a:lnTo>
                  <a:pt x="0" y="172"/>
                </a:lnTo>
                <a:lnTo>
                  <a:pt x="1776" y="0"/>
                </a:lnTo>
                <a:lnTo>
                  <a:pt x="742" y="0"/>
                </a:lnTo>
                <a:close/>
              </a:path>
            </a:pathLst>
          </a:custGeom>
          <a:solidFill>
            <a:srgbClr val="000000"/>
          </a:solidFill>
          <a:ln w="12700">
            <a:solidFill>
              <a:srgbClr val="000000"/>
            </a:solidFill>
            <a:round/>
            <a:headEnd/>
            <a:tailEnd/>
          </a:ln>
        </xdr:spPr>
      </xdr:sp>
      <xdr:sp macro="" textlink="">
        <xdr:nvSpPr>
          <xdr:cNvPr id="385586" name="Freeform 13">
            <a:extLst>
              <a:ext uri="{FF2B5EF4-FFF2-40B4-BE49-F238E27FC236}">
                <a16:creationId xmlns:a16="http://schemas.microsoft.com/office/drawing/2014/main" id="{00000000-0008-0000-0200-000032E20500}"/>
              </a:ext>
            </a:extLst>
          </xdr:cNvPr>
          <xdr:cNvSpPr>
            <a:spLocks/>
          </xdr:cNvSpPr>
        </xdr:nvSpPr>
        <xdr:spPr bwMode="auto">
          <a:xfrm>
            <a:off x="890" y="178"/>
            <a:ext cx="37" cy="3"/>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742" y="0"/>
                </a:moveTo>
                <a:lnTo>
                  <a:pt x="0" y="172"/>
                </a:lnTo>
                <a:lnTo>
                  <a:pt x="1776" y="0"/>
                </a:lnTo>
                <a:lnTo>
                  <a:pt x="74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5587" name="Freeform 14">
            <a:extLst>
              <a:ext uri="{FF2B5EF4-FFF2-40B4-BE49-F238E27FC236}">
                <a16:creationId xmlns:a16="http://schemas.microsoft.com/office/drawing/2014/main" id="{00000000-0008-0000-0200-000033E20500}"/>
              </a:ext>
            </a:extLst>
          </xdr:cNvPr>
          <xdr:cNvSpPr>
            <a:spLocks/>
          </xdr:cNvSpPr>
        </xdr:nvSpPr>
        <xdr:spPr bwMode="auto">
          <a:xfrm>
            <a:off x="868" y="178"/>
            <a:ext cx="15" cy="7"/>
          </a:xfrm>
          <a:custGeom>
            <a:avLst/>
            <a:gdLst>
              <a:gd name="T0" fmla="*/ 0 w 743"/>
              <a:gd name="T1" fmla="*/ 0 h 368"/>
              <a:gd name="T2" fmla="*/ 0 w 743"/>
              <a:gd name="T3" fmla="*/ 0 h 368"/>
              <a:gd name="T4" fmla="*/ 0 w 743"/>
              <a:gd name="T5" fmla="*/ 0 h 368"/>
              <a:gd name="T6" fmla="*/ 0 w 743"/>
              <a:gd name="T7" fmla="*/ 0 h 368"/>
              <a:gd name="T8" fmla="*/ 0 60000 65536"/>
              <a:gd name="T9" fmla="*/ 0 60000 65536"/>
              <a:gd name="T10" fmla="*/ 0 60000 65536"/>
              <a:gd name="T11" fmla="*/ 0 60000 65536"/>
              <a:gd name="T12" fmla="*/ 0 w 743"/>
              <a:gd name="T13" fmla="*/ 0 h 368"/>
              <a:gd name="T14" fmla="*/ 743 w 743"/>
              <a:gd name="T15" fmla="*/ 368 h 368"/>
            </a:gdLst>
            <a:ahLst/>
            <a:cxnLst>
              <a:cxn ang="T8">
                <a:pos x="T0" y="T1"/>
              </a:cxn>
              <a:cxn ang="T9">
                <a:pos x="T2" y="T3"/>
              </a:cxn>
              <a:cxn ang="T10">
                <a:pos x="T4" y="T5"/>
              </a:cxn>
              <a:cxn ang="T11">
                <a:pos x="T6" y="T7"/>
              </a:cxn>
            </a:cxnLst>
            <a:rect l="T12" t="T13" r="T14" b="T15"/>
            <a:pathLst>
              <a:path w="743" h="368">
                <a:moveTo>
                  <a:pt x="0" y="0"/>
                </a:moveTo>
                <a:lnTo>
                  <a:pt x="548" y="368"/>
                </a:lnTo>
                <a:lnTo>
                  <a:pt x="743" y="172"/>
                </a:lnTo>
                <a:lnTo>
                  <a:pt x="0" y="0"/>
                </a:lnTo>
                <a:close/>
              </a:path>
            </a:pathLst>
          </a:custGeom>
          <a:solidFill>
            <a:srgbClr val="000000"/>
          </a:solidFill>
          <a:ln w="12700">
            <a:solidFill>
              <a:srgbClr val="000000"/>
            </a:solidFill>
            <a:round/>
            <a:headEnd/>
            <a:tailEnd/>
          </a:ln>
        </xdr:spPr>
      </xdr:sp>
      <xdr:sp macro="" textlink="">
        <xdr:nvSpPr>
          <xdr:cNvPr id="385588" name="Freeform 15">
            <a:extLst>
              <a:ext uri="{FF2B5EF4-FFF2-40B4-BE49-F238E27FC236}">
                <a16:creationId xmlns:a16="http://schemas.microsoft.com/office/drawing/2014/main" id="{00000000-0008-0000-0200-000034E20500}"/>
              </a:ext>
            </a:extLst>
          </xdr:cNvPr>
          <xdr:cNvSpPr>
            <a:spLocks/>
          </xdr:cNvSpPr>
        </xdr:nvSpPr>
        <xdr:spPr bwMode="auto">
          <a:xfrm>
            <a:off x="868" y="178"/>
            <a:ext cx="15" cy="7"/>
          </a:xfrm>
          <a:custGeom>
            <a:avLst/>
            <a:gdLst>
              <a:gd name="T0" fmla="*/ 0 w 743"/>
              <a:gd name="T1" fmla="*/ 0 h 368"/>
              <a:gd name="T2" fmla="*/ 0 w 743"/>
              <a:gd name="T3" fmla="*/ 0 h 368"/>
              <a:gd name="T4" fmla="*/ 0 w 743"/>
              <a:gd name="T5" fmla="*/ 0 h 368"/>
              <a:gd name="T6" fmla="*/ 0 w 743"/>
              <a:gd name="T7" fmla="*/ 0 h 368"/>
              <a:gd name="T8" fmla="*/ 0 60000 65536"/>
              <a:gd name="T9" fmla="*/ 0 60000 65536"/>
              <a:gd name="T10" fmla="*/ 0 60000 65536"/>
              <a:gd name="T11" fmla="*/ 0 60000 65536"/>
              <a:gd name="T12" fmla="*/ 0 w 743"/>
              <a:gd name="T13" fmla="*/ 0 h 368"/>
              <a:gd name="T14" fmla="*/ 743 w 743"/>
              <a:gd name="T15" fmla="*/ 368 h 368"/>
            </a:gdLst>
            <a:ahLst/>
            <a:cxnLst>
              <a:cxn ang="T8">
                <a:pos x="T0" y="T1"/>
              </a:cxn>
              <a:cxn ang="T9">
                <a:pos x="T2" y="T3"/>
              </a:cxn>
              <a:cxn ang="T10">
                <a:pos x="T4" y="T5"/>
              </a:cxn>
              <a:cxn ang="T11">
                <a:pos x="T6" y="T7"/>
              </a:cxn>
            </a:cxnLst>
            <a:rect l="T12" t="T13" r="T14" b="T15"/>
            <a:pathLst>
              <a:path w="743" h="368">
                <a:moveTo>
                  <a:pt x="0" y="0"/>
                </a:moveTo>
                <a:lnTo>
                  <a:pt x="548" y="368"/>
                </a:lnTo>
                <a:lnTo>
                  <a:pt x="743" y="17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5589" name="Freeform 16">
            <a:extLst>
              <a:ext uri="{FF2B5EF4-FFF2-40B4-BE49-F238E27FC236}">
                <a16:creationId xmlns:a16="http://schemas.microsoft.com/office/drawing/2014/main" id="{00000000-0008-0000-0200-000035E20500}"/>
              </a:ext>
            </a:extLst>
          </xdr:cNvPr>
          <xdr:cNvSpPr>
            <a:spLocks/>
          </xdr:cNvSpPr>
        </xdr:nvSpPr>
        <xdr:spPr bwMode="auto">
          <a:xfrm>
            <a:off x="847" y="178"/>
            <a:ext cx="32" cy="7"/>
          </a:xfrm>
          <a:custGeom>
            <a:avLst/>
            <a:gdLst>
              <a:gd name="T0" fmla="*/ 0 w 1582"/>
              <a:gd name="T1" fmla="*/ 0 h 368"/>
              <a:gd name="T2" fmla="*/ 0 w 1582"/>
              <a:gd name="T3" fmla="*/ 0 h 368"/>
              <a:gd name="T4" fmla="*/ 0 w 1582"/>
              <a:gd name="T5" fmla="*/ 0 h 368"/>
              <a:gd name="T6" fmla="*/ 0 w 1582"/>
              <a:gd name="T7" fmla="*/ 0 h 368"/>
              <a:gd name="T8" fmla="*/ 0 60000 65536"/>
              <a:gd name="T9" fmla="*/ 0 60000 65536"/>
              <a:gd name="T10" fmla="*/ 0 60000 65536"/>
              <a:gd name="T11" fmla="*/ 0 60000 65536"/>
              <a:gd name="T12" fmla="*/ 0 w 1582"/>
              <a:gd name="T13" fmla="*/ 0 h 368"/>
              <a:gd name="T14" fmla="*/ 1582 w 1582"/>
              <a:gd name="T15" fmla="*/ 368 h 368"/>
            </a:gdLst>
            <a:ahLst/>
            <a:cxnLst>
              <a:cxn ang="T8">
                <a:pos x="T0" y="T1"/>
              </a:cxn>
              <a:cxn ang="T9">
                <a:pos x="T2" y="T3"/>
              </a:cxn>
              <a:cxn ang="T10">
                <a:pos x="T4" y="T5"/>
              </a:cxn>
              <a:cxn ang="T11">
                <a:pos x="T6" y="T7"/>
              </a:cxn>
            </a:cxnLst>
            <a:rect l="T12" t="T13" r="T14" b="T15"/>
            <a:pathLst>
              <a:path w="1582" h="368">
                <a:moveTo>
                  <a:pt x="0" y="0"/>
                </a:moveTo>
                <a:lnTo>
                  <a:pt x="1582" y="368"/>
                </a:lnTo>
                <a:lnTo>
                  <a:pt x="1034" y="0"/>
                </a:lnTo>
                <a:lnTo>
                  <a:pt x="0" y="0"/>
                </a:lnTo>
                <a:close/>
              </a:path>
            </a:pathLst>
          </a:custGeom>
          <a:solidFill>
            <a:srgbClr val="000000"/>
          </a:solidFill>
          <a:ln w="12700">
            <a:solidFill>
              <a:srgbClr val="000000"/>
            </a:solidFill>
            <a:round/>
            <a:headEnd/>
            <a:tailEnd/>
          </a:ln>
        </xdr:spPr>
      </xdr:sp>
      <xdr:sp macro="" textlink="">
        <xdr:nvSpPr>
          <xdr:cNvPr id="385590" name="Freeform 17">
            <a:extLst>
              <a:ext uri="{FF2B5EF4-FFF2-40B4-BE49-F238E27FC236}">
                <a16:creationId xmlns:a16="http://schemas.microsoft.com/office/drawing/2014/main" id="{00000000-0008-0000-0200-000036E20500}"/>
              </a:ext>
            </a:extLst>
          </xdr:cNvPr>
          <xdr:cNvSpPr>
            <a:spLocks/>
          </xdr:cNvSpPr>
        </xdr:nvSpPr>
        <xdr:spPr bwMode="auto">
          <a:xfrm>
            <a:off x="847" y="178"/>
            <a:ext cx="32" cy="7"/>
          </a:xfrm>
          <a:custGeom>
            <a:avLst/>
            <a:gdLst>
              <a:gd name="T0" fmla="*/ 0 w 1582"/>
              <a:gd name="T1" fmla="*/ 0 h 368"/>
              <a:gd name="T2" fmla="*/ 0 w 1582"/>
              <a:gd name="T3" fmla="*/ 0 h 368"/>
              <a:gd name="T4" fmla="*/ 0 w 1582"/>
              <a:gd name="T5" fmla="*/ 0 h 368"/>
              <a:gd name="T6" fmla="*/ 0 w 1582"/>
              <a:gd name="T7" fmla="*/ 0 h 368"/>
              <a:gd name="T8" fmla="*/ 0 60000 65536"/>
              <a:gd name="T9" fmla="*/ 0 60000 65536"/>
              <a:gd name="T10" fmla="*/ 0 60000 65536"/>
              <a:gd name="T11" fmla="*/ 0 60000 65536"/>
              <a:gd name="T12" fmla="*/ 0 w 1582"/>
              <a:gd name="T13" fmla="*/ 0 h 368"/>
              <a:gd name="T14" fmla="*/ 1582 w 1582"/>
              <a:gd name="T15" fmla="*/ 368 h 368"/>
            </a:gdLst>
            <a:ahLst/>
            <a:cxnLst>
              <a:cxn ang="T8">
                <a:pos x="T0" y="T1"/>
              </a:cxn>
              <a:cxn ang="T9">
                <a:pos x="T2" y="T3"/>
              </a:cxn>
              <a:cxn ang="T10">
                <a:pos x="T4" y="T5"/>
              </a:cxn>
              <a:cxn ang="T11">
                <a:pos x="T6" y="T7"/>
              </a:cxn>
            </a:cxnLst>
            <a:rect l="T12" t="T13" r="T14" b="T15"/>
            <a:pathLst>
              <a:path w="1582" h="368">
                <a:moveTo>
                  <a:pt x="0" y="0"/>
                </a:moveTo>
                <a:lnTo>
                  <a:pt x="1582" y="368"/>
                </a:lnTo>
                <a:lnTo>
                  <a:pt x="1034" y="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5591" name="Freeform 18">
            <a:extLst>
              <a:ext uri="{FF2B5EF4-FFF2-40B4-BE49-F238E27FC236}">
                <a16:creationId xmlns:a16="http://schemas.microsoft.com/office/drawing/2014/main" id="{00000000-0008-0000-0200-000037E20500}"/>
              </a:ext>
            </a:extLst>
          </xdr:cNvPr>
          <xdr:cNvSpPr>
            <a:spLocks/>
          </xdr:cNvSpPr>
        </xdr:nvSpPr>
        <xdr:spPr bwMode="auto">
          <a:xfrm>
            <a:off x="890" y="174"/>
            <a:ext cx="37" cy="4"/>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0" y="0"/>
                </a:moveTo>
                <a:lnTo>
                  <a:pt x="742" y="172"/>
                </a:lnTo>
                <a:lnTo>
                  <a:pt x="1776" y="172"/>
                </a:lnTo>
                <a:lnTo>
                  <a:pt x="0" y="0"/>
                </a:lnTo>
                <a:close/>
              </a:path>
            </a:pathLst>
          </a:custGeom>
          <a:solidFill>
            <a:srgbClr val="000000"/>
          </a:solidFill>
          <a:ln w="12700">
            <a:solidFill>
              <a:srgbClr val="000000"/>
            </a:solidFill>
            <a:round/>
            <a:headEnd/>
            <a:tailEnd/>
          </a:ln>
        </xdr:spPr>
      </xdr:sp>
      <xdr:sp macro="" textlink="">
        <xdr:nvSpPr>
          <xdr:cNvPr id="385592" name="Freeform 19">
            <a:extLst>
              <a:ext uri="{FF2B5EF4-FFF2-40B4-BE49-F238E27FC236}">
                <a16:creationId xmlns:a16="http://schemas.microsoft.com/office/drawing/2014/main" id="{00000000-0008-0000-0200-000038E20500}"/>
              </a:ext>
            </a:extLst>
          </xdr:cNvPr>
          <xdr:cNvSpPr>
            <a:spLocks/>
          </xdr:cNvSpPr>
        </xdr:nvSpPr>
        <xdr:spPr bwMode="auto">
          <a:xfrm>
            <a:off x="890" y="174"/>
            <a:ext cx="37" cy="4"/>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0" y="0"/>
                </a:moveTo>
                <a:lnTo>
                  <a:pt x="742" y="172"/>
                </a:lnTo>
                <a:lnTo>
                  <a:pt x="1776" y="17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5593" name="Freeform 20">
            <a:extLst>
              <a:ext uri="{FF2B5EF4-FFF2-40B4-BE49-F238E27FC236}">
                <a16:creationId xmlns:a16="http://schemas.microsoft.com/office/drawing/2014/main" id="{00000000-0008-0000-0200-000039E20500}"/>
              </a:ext>
            </a:extLst>
          </xdr:cNvPr>
          <xdr:cNvSpPr>
            <a:spLocks/>
          </xdr:cNvSpPr>
        </xdr:nvSpPr>
        <xdr:spPr bwMode="auto">
          <a:xfrm>
            <a:off x="847" y="174"/>
            <a:ext cx="36" cy="4"/>
          </a:xfrm>
          <a:custGeom>
            <a:avLst/>
            <a:gdLst>
              <a:gd name="T0" fmla="*/ 0 w 1777"/>
              <a:gd name="T1" fmla="*/ 0 h 172"/>
              <a:gd name="T2" fmla="*/ 0 w 1777"/>
              <a:gd name="T3" fmla="*/ 0 h 172"/>
              <a:gd name="T4" fmla="*/ 0 w 1777"/>
              <a:gd name="T5" fmla="*/ 0 h 172"/>
              <a:gd name="T6" fmla="*/ 0 w 1777"/>
              <a:gd name="T7" fmla="*/ 0 h 172"/>
              <a:gd name="T8" fmla="*/ 0 60000 65536"/>
              <a:gd name="T9" fmla="*/ 0 60000 65536"/>
              <a:gd name="T10" fmla="*/ 0 60000 65536"/>
              <a:gd name="T11" fmla="*/ 0 60000 65536"/>
              <a:gd name="T12" fmla="*/ 0 w 1777"/>
              <a:gd name="T13" fmla="*/ 0 h 172"/>
              <a:gd name="T14" fmla="*/ 1777 w 1777"/>
              <a:gd name="T15" fmla="*/ 172 h 172"/>
            </a:gdLst>
            <a:ahLst/>
            <a:cxnLst>
              <a:cxn ang="T8">
                <a:pos x="T0" y="T1"/>
              </a:cxn>
              <a:cxn ang="T9">
                <a:pos x="T2" y="T3"/>
              </a:cxn>
              <a:cxn ang="T10">
                <a:pos x="T4" y="T5"/>
              </a:cxn>
              <a:cxn ang="T11">
                <a:pos x="T6" y="T7"/>
              </a:cxn>
            </a:cxnLst>
            <a:rect l="T12" t="T13" r="T14" b="T15"/>
            <a:pathLst>
              <a:path w="1777" h="172">
                <a:moveTo>
                  <a:pt x="1777" y="0"/>
                </a:moveTo>
                <a:lnTo>
                  <a:pt x="0" y="172"/>
                </a:lnTo>
                <a:lnTo>
                  <a:pt x="1034" y="172"/>
                </a:lnTo>
                <a:lnTo>
                  <a:pt x="1777" y="0"/>
                </a:lnTo>
                <a:close/>
              </a:path>
            </a:pathLst>
          </a:custGeom>
          <a:solidFill>
            <a:srgbClr val="000000"/>
          </a:solidFill>
          <a:ln w="12700">
            <a:solidFill>
              <a:srgbClr val="000000"/>
            </a:solidFill>
            <a:round/>
            <a:headEnd/>
            <a:tailEnd/>
          </a:ln>
        </xdr:spPr>
      </xdr:sp>
      <xdr:sp macro="" textlink="">
        <xdr:nvSpPr>
          <xdr:cNvPr id="385594" name="Freeform 21">
            <a:extLst>
              <a:ext uri="{FF2B5EF4-FFF2-40B4-BE49-F238E27FC236}">
                <a16:creationId xmlns:a16="http://schemas.microsoft.com/office/drawing/2014/main" id="{00000000-0008-0000-0200-00003AE20500}"/>
              </a:ext>
            </a:extLst>
          </xdr:cNvPr>
          <xdr:cNvSpPr>
            <a:spLocks/>
          </xdr:cNvSpPr>
        </xdr:nvSpPr>
        <xdr:spPr bwMode="auto">
          <a:xfrm>
            <a:off x="847" y="174"/>
            <a:ext cx="36" cy="4"/>
          </a:xfrm>
          <a:custGeom>
            <a:avLst/>
            <a:gdLst>
              <a:gd name="T0" fmla="*/ 0 w 1777"/>
              <a:gd name="T1" fmla="*/ 0 h 172"/>
              <a:gd name="T2" fmla="*/ 0 w 1777"/>
              <a:gd name="T3" fmla="*/ 0 h 172"/>
              <a:gd name="T4" fmla="*/ 0 w 1777"/>
              <a:gd name="T5" fmla="*/ 0 h 172"/>
              <a:gd name="T6" fmla="*/ 0 w 1777"/>
              <a:gd name="T7" fmla="*/ 0 h 172"/>
              <a:gd name="T8" fmla="*/ 0 60000 65536"/>
              <a:gd name="T9" fmla="*/ 0 60000 65536"/>
              <a:gd name="T10" fmla="*/ 0 60000 65536"/>
              <a:gd name="T11" fmla="*/ 0 60000 65536"/>
              <a:gd name="T12" fmla="*/ 0 w 1777"/>
              <a:gd name="T13" fmla="*/ 0 h 172"/>
              <a:gd name="T14" fmla="*/ 1777 w 1777"/>
              <a:gd name="T15" fmla="*/ 172 h 172"/>
            </a:gdLst>
            <a:ahLst/>
            <a:cxnLst>
              <a:cxn ang="T8">
                <a:pos x="T0" y="T1"/>
              </a:cxn>
              <a:cxn ang="T9">
                <a:pos x="T2" y="T3"/>
              </a:cxn>
              <a:cxn ang="T10">
                <a:pos x="T4" y="T5"/>
              </a:cxn>
              <a:cxn ang="T11">
                <a:pos x="T6" y="T7"/>
              </a:cxn>
            </a:cxnLst>
            <a:rect l="T12" t="T13" r="T14" b="T15"/>
            <a:pathLst>
              <a:path w="1777" h="172">
                <a:moveTo>
                  <a:pt x="1777" y="0"/>
                </a:moveTo>
                <a:lnTo>
                  <a:pt x="0" y="172"/>
                </a:lnTo>
                <a:lnTo>
                  <a:pt x="1034" y="172"/>
                </a:lnTo>
                <a:lnTo>
                  <a:pt x="1777"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5595" name="Freeform 22">
            <a:extLst>
              <a:ext uri="{FF2B5EF4-FFF2-40B4-BE49-F238E27FC236}">
                <a16:creationId xmlns:a16="http://schemas.microsoft.com/office/drawing/2014/main" id="{00000000-0008-0000-0200-00003BE20500}"/>
              </a:ext>
            </a:extLst>
          </xdr:cNvPr>
          <xdr:cNvSpPr>
            <a:spLocks/>
          </xdr:cNvSpPr>
        </xdr:nvSpPr>
        <xdr:spPr bwMode="auto">
          <a:xfrm>
            <a:off x="890" y="170"/>
            <a:ext cx="37" cy="8"/>
          </a:xfrm>
          <a:custGeom>
            <a:avLst/>
            <a:gdLst>
              <a:gd name="T0" fmla="*/ 0 w 1776"/>
              <a:gd name="T1" fmla="*/ 0 h 367"/>
              <a:gd name="T2" fmla="*/ 0 w 1776"/>
              <a:gd name="T3" fmla="*/ 0 h 367"/>
              <a:gd name="T4" fmla="*/ 0 w 1776"/>
              <a:gd name="T5" fmla="*/ 0 h 367"/>
              <a:gd name="T6" fmla="*/ 0 w 1776"/>
              <a:gd name="T7" fmla="*/ 0 h 367"/>
              <a:gd name="T8" fmla="*/ 0 60000 65536"/>
              <a:gd name="T9" fmla="*/ 0 60000 65536"/>
              <a:gd name="T10" fmla="*/ 0 60000 65536"/>
              <a:gd name="T11" fmla="*/ 0 60000 65536"/>
              <a:gd name="T12" fmla="*/ 0 w 1776"/>
              <a:gd name="T13" fmla="*/ 0 h 367"/>
              <a:gd name="T14" fmla="*/ 1776 w 1776"/>
              <a:gd name="T15" fmla="*/ 367 h 367"/>
            </a:gdLst>
            <a:ahLst/>
            <a:cxnLst>
              <a:cxn ang="T8">
                <a:pos x="T0" y="T1"/>
              </a:cxn>
              <a:cxn ang="T9">
                <a:pos x="T2" y="T3"/>
              </a:cxn>
              <a:cxn ang="T10">
                <a:pos x="T4" y="T5"/>
              </a:cxn>
              <a:cxn ang="T11">
                <a:pos x="T6" y="T7"/>
              </a:cxn>
            </a:cxnLst>
            <a:rect l="T12" t="T13" r="T14" b="T15"/>
            <a:pathLst>
              <a:path w="1776" h="367">
                <a:moveTo>
                  <a:pt x="193" y="0"/>
                </a:moveTo>
                <a:lnTo>
                  <a:pt x="0" y="195"/>
                </a:lnTo>
                <a:lnTo>
                  <a:pt x="1776" y="367"/>
                </a:lnTo>
                <a:lnTo>
                  <a:pt x="193" y="0"/>
                </a:lnTo>
                <a:close/>
              </a:path>
            </a:pathLst>
          </a:custGeom>
          <a:solidFill>
            <a:srgbClr val="000000"/>
          </a:solidFill>
          <a:ln w="12700">
            <a:solidFill>
              <a:srgbClr val="000000"/>
            </a:solidFill>
            <a:round/>
            <a:headEnd/>
            <a:tailEnd/>
          </a:ln>
        </xdr:spPr>
      </xdr:sp>
      <xdr:sp macro="" textlink="">
        <xdr:nvSpPr>
          <xdr:cNvPr id="385596" name="Freeform 23">
            <a:extLst>
              <a:ext uri="{FF2B5EF4-FFF2-40B4-BE49-F238E27FC236}">
                <a16:creationId xmlns:a16="http://schemas.microsoft.com/office/drawing/2014/main" id="{00000000-0008-0000-0200-00003CE20500}"/>
              </a:ext>
            </a:extLst>
          </xdr:cNvPr>
          <xdr:cNvSpPr>
            <a:spLocks/>
          </xdr:cNvSpPr>
        </xdr:nvSpPr>
        <xdr:spPr bwMode="auto">
          <a:xfrm>
            <a:off x="890" y="170"/>
            <a:ext cx="37" cy="8"/>
          </a:xfrm>
          <a:custGeom>
            <a:avLst/>
            <a:gdLst>
              <a:gd name="T0" fmla="*/ 0 w 1776"/>
              <a:gd name="T1" fmla="*/ 0 h 367"/>
              <a:gd name="T2" fmla="*/ 0 w 1776"/>
              <a:gd name="T3" fmla="*/ 0 h 367"/>
              <a:gd name="T4" fmla="*/ 0 w 1776"/>
              <a:gd name="T5" fmla="*/ 0 h 367"/>
              <a:gd name="T6" fmla="*/ 0 w 1776"/>
              <a:gd name="T7" fmla="*/ 0 h 367"/>
              <a:gd name="T8" fmla="*/ 0 60000 65536"/>
              <a:gd name="T9" fmla="*/ 0 60000 65536"/>
              <a:gd name="T10" fmla="*/ 0 60000 65536"/>
              <a:gd name="T11" fmla="*/ 0 60000 65536"/>
              <a:gd name="T12" fmla="*/ 0 w 1776"/>
              <a:gd name="T13" fmla="*/ 0 h 367"/>
              <a:gd name="T14" fmla="*/ 1776 w 1776"/>
              <a:gd name="T15" fmla="*/ 367 h 367"/>
            </a:gdLst>
            <a:ahLst/>
            <a:cxnLst>
              <a:cxn ang="T8">
                <a:pos x="T0" y="T1"/>
              </a:cxn>
              <a:cxn ang="T9">
                <a:pos x="T2" y="T3"/>
              </a:cxn>
              <a:cxn ang="T10">
                <a:pos x="T4" y="T5"/>
              </a:cxn>
              <a:cxn ang="T11">
                <a:pos x="T6" y="T7"/>
              </a:cxn>
            </a:cxnLst>
            <a:rect l="T12" t="T13" r="T14" b="T15"/>
            <a:pathLst>
              <a:path w="1776" h="367">
                <a:moveTo>
                  <a:pt x="193" y="0"/>
                </a:moveTo>
                <a:lnTo>
                  <a:pt x="0" y="195"/>
                </a:lnTo>
                <a:lnTo>
                  <a:pt x="1776" y="367"/>
                </a:lnTo>
                <a:lnTo>
                  <a:pt x="193"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5597" name="Freeform 24">
            <a:extLst>
              <a:ext uri="{FF2B5EF4-FFF2-40B4-BE49-F238E27FC236}">
                <a16:creationId xmlns:a16="http://schemas.microsoft.com/office/drawing/2014/main" id="{00000000-0008-0000-0200-00003DE20500}"/>
              </a:ext>
            </a:extLst>
          </xdr:cNvPr>
          <xdr:cNvSpPr>
            <a:spLocks/>
          </xdr:cNvSpPr>
        </xdr:nvSpPr>
        <xdr:spPr bwMode="auto">
          <a:xfrm>
            <a:off x="847" y="170"/>
            <a:ext cx="36" cy="8"/>
          </a:xfrm>
          <a:custGeom>
            <a:avLst/>
            <a:gdLst>
              <a:gd name="T0" fmla="*/ 0 w 1777"/>
              <a:gd name="T1" fmla="*/ 0 h 367"/>
              <a:gd name="T2" fmla="*/ 0 w 1777"/>
              <a:gd name="T3" fmla="*/ 0 h 367"/>
              <a:gd name="T4" fmla="*/ 0 w 1777"/>
              <a:gd name="T5" fmla="*/ 0 h 367"/>
              <a:gd name="T6" fmla="*/ 0 w 1777"/>
              <a:gd name="T7" fmla="*/ 0 h 367"/>
              <a:gd name="T8" fmla="*/ 0 60000 65536"/>
              <a:gd name="T9" fmla="*/ 0 60000 65536"/>
              <a:gd name="T10" fmla="*/ 0 60000 65536"/>
              <a:gd name="T11" fmla="*/ 0 60000 65536"/>
              <a:gd name="T12" fmla="*/ 0 w 1777"/>
              <a:gd name="T13" fmla="*/ 0 h 367"/>
              <a:gd name="T14" fmla="*/ 1777 w 1777"/>
              <a:gd name="T15" fmla="*/ 367 h 367"/>
            </a:gdLst>
            <a:ahLst/>
            <a:cxnLst>
              <a:cxn ang="T8">
                <a:pos x="T0" y="T1"/>
              </a:cxn>
              <a:cxn ang="T9">
                <a:pos x="T2" y="T3"/>
              </a:cxn>
              <a:cxn ang="T10">
                <a:pos x="T4" y="T5"/>
              </a:cxn>
              <a:cxn ang="T11">
                <a:pos x="T6" y="T7"/>
              </a:cxn>
            </a:cxnLst>
            <a:rect l="T12" t="T13" r="T14" b="T15"/>
            <a:pathLst>
              <a:path w="1777" h="367">
                <a:moveTo>
                  <a:pt x="1582" y="0"/>
                </a:moveTo>
                <a:lnTo>
                  <a:pt x="0" y="367"/>
                </a:lnTo>
                <a:lnTo>
                  <a:pt x="1777" y="195"/>
                </a:lnTo>
                <a:lnTo>
                  <a:pt x="1582" y="0"/>
                </a:lnTo>
                <a:close/>
              </a:path>
            </a:pathLst>
          </a:custGeom>
          <a:solidFill>
            <a:srgbClr val="000000"/>
          </a:solidFill>
          <a:ln w="12700">
            <a:solidFill>
              <a:srgbClr val="000000"/>
            </a:solidFill>
            <a:round/>
            <a:headEnd/>
            <a:tailEnd/>
          </a:ln>
        </xdr:spPr>
      </xdr:sp>
      <xdr:sp macro="" textlink="">
        <xdr:nvSpPr>
          <xdr:cNvPr id="385598" name="Freeform 25">
            <a:extLst>
              <a:ext uri="{FF2B5EF4-FFF2-40B4-BE49-F238E27FC236}">
                <a16:creationId xmlns:a16="http://schemas.microsoft.com/office/drawing/2014/main" id="{00000000-0008-0000-0200-00003EE20500}"/>
              </a:ext>
            </a:extLst>
          </xdr:cNvPr>
          <xdr:cNvSpPr>
            <a:spLocks/>
          </xdr:cNvSpPr>
        </xdr:nvSpPr>
        <xdr:spPr bwMode="auto">
          <a:xfrm>
            <a:off x="847" y="170"/>
            <a:ext cx="36" cy="8"/>
          </a:xfrm>
          <a:custGeom>
            <a:avLst/>
            <a:gdLst>
              <a:gd name="T0" fmla="*/ 0 w 1777"/>
              <a:gd name="T1" fmla="*/ 0 h 367"/>
              <a:gd name="T2" fmla="*/ 0 w 1777"/>
              <a:gd name="T3" fmla="*/ 0 h 367"/>
              <a:gd name="T4" fmla="*/ 0 w 1777"/>
              <a:gd name="T5" fmla="*/ 0 h 367"/>
              <a:gd name="T6" fmla="*/ 0 w 1777"/>
              <a:gd name="T7" fmla="*/ 0 h 367"/>
              <a:gd name="T8" fmla="*/ 0 60000 65536"/>
              <a:gd name="T9" fmla="*/ 0 60000 65536"/>
              <a:gd name="T10" fmla="*/ 0 60000 65536"/>
              <a:gd name="T11" fmla="*/ 0 60000 65536"/>
              <a:gd name="T12" fmla="*/ 0 w 1777"/>
              <a:gd name="T13" fmla="*/ 0 h 367"/>
              <a:gd name="T14" fmla="*/ 1777 w 1777"/>
              <a:gd name="T15" fmla="*/ 367 h 367"/>
            </a:gdLst>
            <a:ahLst/>
            <a:cxnLst>
              <a:cxn ang="T8">
                <a:pos x="T0" y="T1"/>
              </a:cxn>
              <a:cxn ang="T9">
                <a:pos x="T2" y="T3"/>
              </a:cxn>
              <a:cxn ang="T10">
                <a:pos x="T4" y="T5"/>
              </a:cxn>
              <a:cxn ang="T11">
                <a:pos x="T6" y="T7"/>
              </a:cxn>
            </a:cxnLst>
            <a:rect l="T12" t="T13" r="T14" b="T15"/>
            <a:pathLst>
              <a:path w="1777" h="367">
                <a:moveTo>
                  <a:pt x="1582" y="0"/>
                </a:moveTo>
                <a:lnTo>
                  <a:pt x="0" y="367"/>
                </a:lnTo>
                <a:lnTo>
                  <a:pt x="1777" y="195"/>
                </a:lnTo>
                <a:lnTo>
                  <a:pt x="158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5599" name="Freeform 26">
            <a:extLst>
              <a:ext uri="{FF2B5EF4-FFF2-40B4-BE49-F238E27FC236}">
                <a16:creationId xmlns:a16="http://schemas.microsoft.com/office/drawing/2014/main" id="{00000000-0008-0000-0200-00003FE20500}"/>
              </a:ext>
            </a:extLst>
          </xdr:cNvPr>
          <xdr:cNvSpPr>
            <a:spLocks/>
          </xdr:cNvSpPr>
        </xdr:nvSpPr>
        <xdr:spPr bwMode="auto">
          <a:xfrm>
            <a:off x="879" y="159"/>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365" y="0"/>
                </a:moveTo>
                <a:lnTo>
                  <a:pt x="0" y="551"/>
                </a:lnTo>
                <a:lnTo>
                  <a:pt x="195" y="746"/>
                </a:lnTo>
                <a:lnTo>
                  <a:pt x="365" y="0"/>
                </a:lnTo>
                <a:close/>
              </a:path>
            </a:pathLst>
          </a:custGeom>
          <a:solidFill>
            <a:srgbClr val="000000"/>
          </a:solidFill>
          <a:ln w="12700">
            <a:solidFill>
              <a:srgbClr val="000000"/>
            </a:solidFill>
            <a:round/>
            <a:headEnd/>
            <a:tailEnd/>
          </a:ln>
        </xdr:spPr>
      </xdr:sp>
      <xdr:sp macro="" textlink="">
        <xdr:nvSpPr>
          <xdr:cNvPr id="385600" name="Freeform 27">
            <a:extLst>
              <a:ext uri="{FF2B5EF4-FFF2-40B4-BE49-F238E27FC236}">
                <a16:creationId xmlns:a16="http://schemas.microsoft.com/office/drawing/2014/main" id="{00000000-0008-0000-0200-000040E20500}"/>
              </a:ext>
            </a:extLst>
          </xdr:cNvPr>
          <xdr:cNvSpPr>
            <a:spLocks/>
          </xdr:cNvSpPr>
        </xdr:nvSpPr>
        <xdr:spPr bwMode="auto">
          <a:xfrm>
            <a:off x="879" y="159"/>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365" y="0"/>
                </a:moveTo>
                <a:lnTo>
                  <a:pt x="0" y="551"/>
                </a:lnTo>
                <a:lnTo>
                  <a:pt x="195" y="746"/>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5601" name="Freeform 28">
            <a:extLst>
              <a:ext uri="{FF2B5EF4-FFF2-40B4-BE49-F238E27FC236}">
                <a16:creationId xmlns:a16="http://schemas.microsoft.com/office/drawing/2014/main" id="{00000000-0008-0000-0200-000041E20500}"/>
              </a:ext>
            </a:extLst>
          </xdr:cNvPr>
          <xdr:cNvSpPr>
            <a:spLocks/>
          </xdr:cNvSpPr>
        </xdr:nvSpPr>
        <xdr:spPr bwMode="auto">
          <a:xfrm>
            <a:off x="887" y="159"/>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0" y="0"/>
                </a:moveTo>
                <a:lnTo>
                  <a:pt x="172" y="746"/>
                </a:lnTo>
                <a:lnTo>
                  <a:pt x="365" y="551"/>
                </a:lnTo>
                <a:lnTo>
                  <a:pt x="0" y="0"/>
                </a:lnTo>
                <a:close/>
              </a:path>
            </a:pathLst>
          </a:custGeom>
          <a:solidFill>
            <a:srgbClr val="000000"/>
          </a:solidFill>
          <a:ln w="12700">
            <a:solidFill>
              <a:srgbClr val="000000"/>
            </a:solidFill>
            <a:round/>
            <a:headEnd/>
            <a:tailEnd/>
          </a:ln>
        </xdr:spPr>
      </xdr:sp>
      <xdr:sp macro="" textlink="">
        <xdr:nvSpPr>
          <xdr:cNvPr id="385602" name="Freeform 29">
            <a:extLst>
              <a:ext uri="{FF2B5EF4-FFF2-40B4-BE49-F238E27FC236}">
                <a16:creationId xmlns:a16="http://schemas.microsoft.com/office/drawing/2014/main" id="{00000000-0008-0000-0200-000042E20500}"/>
              </a:ext>
            </a:extLst>
          </xdr:cNvPr>
          <xdr:cNvSpPr>
            <a:spLocks/>
          </xdr:cNvSpPr>
        </xdr:nvSpPr>
        <xdr:spPr bwMode="auto">
          <a:xfrm>
            <a:off x="887" y="159"/>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0" y="0"/>
                </a:moveTo>
                <a:lnTo>
                  <a:pt x="172" y="746"/>
                </a:lnTo>
                <a:lnTo>
                  <a:pt x="365" y="551"/>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5603" name="Freeform 30">
            <a:extLst>
              <a:ext uri="{FF2B5EF4-FFF2-40B4-BE49-F238E27FC236}">
                <a16:creationId xmlns:a16="http://schemas.microsoft.com/office/drawing/2014/main" id="{00000000-0008-0000-0200-000043E20500}"/>
              </a:ext>
            </a:extLst>
          </xdr:cNvPr>
          <xdr:cNvSpPr>
            <a:spLocks/>
          </xdr:cNvSpPr>
        </xdr:nvSpPr>
        <xdr:spPr bwMode="auto">
          <a:xfrm>
            <a:off x="879" y="138"/>
            <a:ext cx="8"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365" y="0"/>
                </a:moveTo>
                <a:lnTo>
                  <a:pt x="0" y="1590"/>
                </a:lnTo>
                <a:lnTo>
                  <a:pt x="365" y="1039"/>
                </a:lnTo>
                <a:lnTo>
                  <a:pt x="365" y="0"/>
                </a:lnTo>
                <a:close/>
              </a:path>
            </a:pathLst>
          </a:custGeom>
          <a:solidFill>
            <a:srgbClr val="000000"/>
          </a:solidFill>
          <a:ln w="12700">
            <a:solidFill>
              <a:srgbClr val="000000"/>
            </a:solidFill>
            <a:round/>
            <a:headEnd/>
            <a:tailEnd/>
          </a:ln>
        </xdr:spPr>
      </xdr:sp>
      <xdr:sp macro="" textlink="">
        <xdr:nvSpPr>
          <xdr:cNvPr id="385604" name="Freeform 31">
            <a:extLst>
              <a:ext uri="{FF2B5EF4-FFF2-40B4-BE49-F238E27FC236}">
                <a16:creationId xmlns:a16="http://schemas.microsoft.com/office/drawing/2014/main" id="{00000000-0008-0000-0200-000044E20500}"/>
              </a:ext>
            </a:extLst>
          </xdr:cNvPr>
          <xdr:cNvSpPr>
            <a:spLocks/>
          </xdr:cNvSpPr>
        </xdr:nvSpPr>
        <xdr:spPr bwMode="auto">
          <a:xfrm>
            <a:off x="879" y="138"/>
            <a:ext cx="8"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365" y="0"/>
                </a:moveTo>
                <a:lnTo>
                  <a:pt x="0" y="1590"/>
                </a:lnTo>
                <a:lnTo>
                  <a:pt x="365" y="1039"/>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5605" name="Freeform 32">
            <a:extLst>
              <a:ext uri="{FF2B5EF4-FFF2-40B4-BE49-F238E27FC236}">
                <a16:creationId xmlns:a16="http://schemas.microsoft.com/office/drawing/2014/main" id="{00000000-0008-0000-0200-000045E20500}"/>
              </a:ext>
            </a:extLst>
          </xdr:cNvPr>
          <xdr:cNvSpPr>
            <a:spLocks/>
          </xdr:cNvSpPr>
        </xdr:nvSpPr>
        <xdr:spPr bwMode="auto">
          <a:xfrm>
            <a:off x="887" y="138"/>
            <a:ext cx="7"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0" y="0"/>
                </a:moveTo>
                <a:lnTo>
                  <a:pt x="0" y="1039"/>
                </a:lnTo>
                <a:lnTo>
                  <a:pt x="365" y="1590"/>
                </a:lnTo>
                <a:lnTo>
                  <a:pt x="0" y="0"/>
                </a:lnTo>
                <a:close/>
              </a:path>
            </a:pathLst>
          </a:custGeom>
          <a:solidFill>
            <a:srgbClr val="000000"/>
          </a:solidFill>
          <a:ln w="12700">
            <a:solidFill>
              <a:srgbClr val="000000"/>
            </a:solidFill>
            <a:round/>
            <a:headEnd/>
            <a:tailEnd/>
          </a:ln>
        </xdr:spPr>
      </xdr:sp>
      <xdr:sp macro="" textlink="">
        <xdr:nvSpPr>
          <xdr:cNvPr id="385606" name="Freeform 33">
            <a:extLst>
              <a:ext uri="{FF2B5EF4-FFF2-40B4-BE49-F238E27FC236}">
                <a16:creationId xmlns:a16="http://schemas.microsoft.com/office/drawing/2014/main" id="{00000000-0008-0000-0200-000046E20500}"/>
              </a:ext>
            </a:extLst>
          </xdr:cNvPr>
          <xdr:cNvSpPr>
            <a:spLocks/>
          </xdr:cNvSpPr>
        </xdr:nvSpPr>
        <xdr:spPr bwMode="auto">
          <a:xfrm>
            <a:off x="887" y="138"/>
            <a:ext cx="7"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0" y="0"/>
                </a:moveTo>
                <a:lnTo>
                  <a:pt x="0" y="1039"/>
                </a:lnTo>
                <a:lnTo>
                  <a:pt x="365" y="159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5607" name="Line 34">
            <a:extLst>
              <a:ext uri="{FF2B5EF4-FFF2-40B4-BE49-F238E27FC236}">
                <a16:creationId xmlns:a16="http://schemas.microsoft.com/office/drawing/2014/main" id="{00000000-0008-0000-0200-000047E20500}"/>
              </a:ext>
            </a:extLst>
          </xdr:cNvPr>
          <xdr:cNvSpPr>
            <a:spLocks noChangeShapeType="1"/>
          </xdr:cNvSpPr>
        </xdr:nvSpPr>
        <xdr:spPr bwMode="auto">
          <a:xfrm flipH="1" flipV="1">
            <a:off x="887" y="138"/>
            <a:ext cx="7" cy="3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608" name="Line 35">
            <a:extLst>
              <a:ext uri="{FF2B5EF4-FFF2-40B4-BE49-F238E27FC236}">
                <a16:creationId xmlns:a16="http://schemas.microsoft.com/office/drawing/2014/main" id="{00000000-0008-0000-0200-000048E20500}"/>
              </a:ext>
            </a:extLst>
          </xdr:cNvPr>
          <xdr:cNvSpPr>
            <a:spLocks noChangeShapeType="1"/>
          </xdr:cNvSpPr>
        </xdr:nvSpPr>
        <xdr:spPr bwMode="auto">
          <a:xfrm flipH="1">
            <a:off x="879" y="138"/>
            <a:ext cx="8" cy="3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609" name="Line 36">
            <a:extLst>
              <a:ext uri="{FF2B5EF4-FFF2-40B4-BE49-F238E27FC236}">
                <a16:creationId xmlns:a16="http://schemas.microsoft.com/office/drawing/2014/main" id="{00000000-0008-0000-0200-000049E20500}"/>
              </a:ext>
            </a:extLst>
          </xdr:cNvPr>
          <xdr:cNvSpPr>
            <a:spLocks noChangeShapeType="1"/>
          </xdr:cNvSpPr>
        </xdr:nvSpPr>
        <xdr:spPr bwMode="auto">
          <a:xfrm flipH="1">
            <a:off x="847" y="170"/>
            <a:ext cx="32" cy="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610" name="Line 37">
            <a:extLst>
              <a:ext uri="{FF2B5EF4-FFF2-40B4-BE49-F238E27FC236}">
                <a16:creationId xmlns:a16="http://schemas.microsoft.com/office/drawing/2014/main" id="{00000000-0008-0000-0200-00004AE20500}"/>
              </a:ext>
            </a:extLst>
          </xdr:cNvPr>
          <xdr:cNvSpPr>
            <a:spLocks noChangeShapeType="1"/>
          </xdr:cNvSpPr>
        </xdr:nvSpPr>
        <xdr:spPr bwMode="auto">
          <a:xfrm>
            <a:off x="847" y="178"/>
            <a:ext cx="32" cy="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611" name="Line 38">
            <a:extLst>
              <a:ext uri="{FF2B5EF4-FFF2-40B4-BE49-F238E27FC236}">
                <a16:creationId xmlns:a16="http://schemas.microsoft.com/office/drawing/2014/main" id="{00000000-0008-0000-0200-00004BE20500}"/>
              </a:ext>
            </a:extLst>
          </xdr:cNvPr>
          <xdr:cNvSpPr>
            <a:spLocks noChangeShapeType="1"/>
          </xdr:cNvSpPr>
        </xdr:nvSpPr>
        <xdr:spPr bwMode="auto">
          <a:xfrm>
            <a:off x="879" y="185"/>
            <a:ext cx="8" cy="3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612" name="Line 39">
            <a:extLst>
              <a:ext uri="{FF2B5EF4-FFF2-40B4-BE49-F238E27FC236}">
                <a16:creationId xmlns:a16="http://schemas.microsoft.com/office/drawing/2014/main" id="{00000000-0008-0000-0200-00004CE20500}"/>
              </a:ext>
            </a:extLst>
          </xdr:cNvPr>
          <xdr:cNvSpPr>
            <a:spLocks noChangeShapeType="1"/>
          </xdr:cNvSpPr>
        </xdr:nvSpPr>
        <xdr:spPr bwMode="auto">
          <a:xfrm flipV="1">
            <a:off x="887" y="185"/>
            <a:ext cx="7" cy="3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613" name="Line 40">
            <a:extLst>
              <a:ext uri="{FF2B5EF4-FFF2-40B4-BE49-F238E27FC236}">
                <a16:creationId xmlns:a16="http://schemas.microsoft.com/office/drawing/2014/main" id="{00000000-0008-0000-0200-00004DE20500}"/>
              </a:ext>
            </a:extLst>
          </xdr:cNvPr>
          <xdr:cNvSpPr>
            <a:spLocks noChangeShapeType="1"/>
          </xdr:cNvSpPr>
        </xdr:nvSpPr>
        <xdr:spPr bwMode="auto">
          <a:xfrm flipV="1">
            <a:off x="894" y="178"/>
            <a:ext cx="33" cy="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614" name="Line 41">
            <a:extLst>
              <a:ext uri="{FF2B5EF4-FFF2-40B4-BE49-F238E27FC236}">
                <a16:creationId xmlns:a16="http://schemas.microsoft.com/office/drawing/2014/main" id="{00000000-0008-0000-0200-00004EE20500}"/>
              </a:ext>
            </a:extLst>
          </xdr:cNvPr>
          <xdr:cNvSpPr>
            <a:spLocks noChangeShapeType="1"/>
          </xdr:cNvSpPr>
        </xdr:nvSpPr>
        <xdr:spPr bwMode="auto">
          <a:xfrm flipH="1" flipV="1">
            <a:off x="894" y="170"/>
            <a:ext cx="33" cy="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615" name="Line 42">
            <a:extLst>
              <a:ext uri="{FF2B5EF4-FFF2-40B4-BE49-F238E27FC236}">
                <a16:creationId xmlns:a16="http://schemas.microsoft.com/office/drawing/2014/main" id="{00000000-0008-0000-0200-00004FE20500}"/>
              </a:ext>
            </a:extLst>
          </xdr:cNvPr>
          <xdr:cNvSpPr>
            <a:spLocks noChangeShapeType="1"/>
          </xdr:cNvSpPr>
        </xdr:nvSpPr>
        <xdr:spPr bwMode="auto">
          <a:xfrm flipH="1" flipV="1">
            <a:off x="887" y="159"/>
            <a:ext cx="3"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616" name="Line 43">
            <a:extLst>
              <a:ext uri="{FF2B5EF4-FFF2-40B4-BE49-F238E27FC236}">
                <a16:creationId xmlns:a16="http://schemas.microsoft.com/office/drawing/2014/main" id="{00000000-0008-0000-0200-000050E20500}"/>
              </a:ext>
            </a:extLst>
          </xdr:cNvPr>
          <xdr:cNvSpPr>
            <a:spLocks noChangeShapeType="1"/>
          </xdr:cNvSpPr>
        </xdr:nvSpPr>
        <xdr:spPr bwMode="auto">
          <a:xfrm flipH="1">
            <a:off x="883" y="159"/>
            <a:ext cx="4"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617" name="Line 44">
            <a:extLst>
              <a:ext uri="{FF2B5EF4-FFF2-40B4-BE49-F238E27FC236}">
                <a16:creationId xmlns:a16="http://schemas.microsoft.com/office/drawing/2014/main" id="{00000000-0008-0000-0200-000051E20500}"/>
              </a:ext>
            </a:extLst>
          </xdr:cNvPr>
          <xdr:cNvSpPr>
            <a:spLocks noChangeShapeType="1"/>
          </xdr:cNvSpPr>
        </xdr:nvSpPr>
        <xdr:spPr bwMode="auto">
          <a:xfrm flipH="1">
            <a:off x="868" y="174"/>
            <a:ext cx="15" cy="4"/>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618" name="Line 45">
            <a:extLst>
              <a:ext uri="{FF2B5EF4-FFF2-40B4-BE49-F238E27FC236}">
                <a16:creationId xmlns:a16="http://schemas.microsoft.com/office/drawing/2014/main" id="{00000000-0008-0000-0200-000052E20500}"/>
              </a:ext>
            </a:extLst>
          </xdr:cNvPr>
          <xdr:cNvSpPr>
            <a:spLocks noChangeShapeType="1"/>
          </xdr:cNvSpPr>
        </xdr:nvSpPr>
        <xdr:spPr bwMode="auto">
          <a:xfrm>
            <a:off x="868" y="178"/>
            <a:ext cx="15" cy="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619" name="Line 46">
            <a:extLst>
              <a:ext uri="{FF2B5EF4-FFF2-40B4-BE49-F238E27FC236}">
                <a16:creationId xmlns:a16="http://schemas.microsoft.com/office/drawing/2014/main" id="{00000000-0008-0000-0200-000053E20500}"/>
              </a:ext>
            </a:extLst>
          </xdr:cNvPr>
          <xdr:cNvSpPr>
            <a:spLocks noChangeShapeType="1"/>
          </xdr:cNvSpPr>
        </xdr:nvSpPr>
        <xdr:spPr bwMode="auto">
          <a:xfrm>
            <a:off x="883" y="181"/>
            <a:ext cx="4"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620" name="Line 47">
            <a:extLst>
              <a:ext uri="{FF2B5EF4-FFF2-40B4-BE49-F238E27FC236}">
                <a16:creationId xmlns:a16="http://schemas.microsoft.com/office/drawing/2014/main" id="{00000000-0008-0000-0200-000054E20500}"/>
              </a:ext>
            </a:extLst>
          </xdr:cNvPr>
          <xdr:cNvSpPr>
            <a:spLocks noChangeShapeType="1"/>
          </xdr:cNvSpPr>
        </xdr:nvSpPr>
        <xdr:spPr bwMode="auto">
          <a:xfrm flipV="1">
            <a:off x="887" y="181"/>
            <a:ext cx="3"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621" name="Line 48">
            <a:extLst>
              <a:ext uri="{FF2B5EF4-FFF2-40B4-BE49-F238E27FC236}">
                <a16:creationId xmlns:a16="http://schemas.microsoft.com/office/drawing/2014/main" id="{00000000-0008-0000-0200-000055E20500}"/>
              </a:ext>
            </a:extLst>
          </xdr:cNvPr>
          <xdr:cNvSpPr>
            <a:spLocks noChangeShapeType="1"/>
          </xdr:cNvSpPr>
        </xdr:nvSpPr>
        <xdr:spPr bwMode="auto">
          <a:xfrm flipV="1">
            <a:off x="890" y="178"/>
            <a:ext cx="16" cy="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622" name="Line 49">
            <a:extLst>
              <a:ext uri="{FF2B5EF4-FFF2-40B4-BE49-F238E27FC236}">
                <a16:creationId xmlns:a16="http://schemas.microsoft.com/office/drawing/2014/main" id="{00000000-0008-0000-0200-000056E20500}"/>
              </a:ext>
            </a:extLst>
          </xdr:cNvPr>
          <xdr:cNvSpPr>
            <a:spLocks noChangeShapeType="1"/>
          </xdr:cNvSpPr>
        </xdr:nvSpPr>
        <xdr:spPr bwMode="auto">
          <a:xfrm flipH="1" flipV="1">
            <a:off x="890" y="174"/>
            <a:ext cx="16" cy="4"/>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623" name="Oval 50">
            <a:extLst>
              <a:ext uri="{FF2B5EF4-FFF2-40B4-BE49-F238E27FC236}">
                <a16:creationId xmlns:a16="http://schemas.microsoft.com/office/drawing/2014/main" id="{00000000-0008-0000-0200-000057E20500}"/>
              </a:ext>
            </a:extLst>
          </xdr:cNvPr>
          <xdr:cNvSpPr>
            <a:spLocks noChangeArrowheads="1"/>
          </xdr:cNvSpPr>
        </xdr:nvSpPr>
        <xdr:spPr bwMode="auto">
          <a:xfrm>
            <a:off x="846" y="138"/>
            <a:ext cx="81" cy="81"/>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85725</xdr:colOff>
      <xdr:row>1</xdr:row>
      <xdr:rowOff>161925</xdr:rowOff>
    </xdr:from>
    <xdr:to>
      <xdr:col>2</xdr:col>
      <xdr:colOff>123825</xdr:colOff>
      <xdr:row>2</xdr:row>
      <xdr:rowOff>217170</xdr:rowOff>
    </xdr:to>
    <xdr:grpSp>
      <xdr:nvGrpSpPr>
        <xdr:cNvPr id="52" name="Group 51">
          <a:extLst>
            <a:ext uri="{FF2B5EF4-FFF2-40B4-BE49-F238E27FC236}">
              <a16:creationId xmlns:a16="http://schemas.microsoft.com/office/drawing/2014/main" id="{00000000-0008-0000-0200-000034000000}"/>
            </a:ext>
          </a:extLst>
        </xdr:cNvPr>
        <xdr:cNvGrpSpPr>
          <a:grpSpLocks/>
        </xdr:cNvGrpSpPr>
      </xdr:nvGrpSpPr>
      <xdr:grpSpPr bwMode="auto">
        <a:xfrm>
          <a:off x="242607" y="542925"/>
          <a:ext cx="497542" cy="436245"/>
          <a:chOff x="846" y="138"/>
          <a:chExt cx="81" cy="81"/>
        </a:xfrm>
      </xdr:grpSpPr>
      <xdr:sp macro="" textlink="">
        <xdr:nvSpPr>
          <xdr:cNvPr id="53" name="Freeform 52">
            <a:extLst>
              <a:ext uri="{FF2B5EF4-FFF2-40B4-BE49-F238E27FC236}">
                <a16:creationId xmlns:a16="http://schemas.microsoft.com/office/drawing/2014/main" id="{00000000-0008-0000-0200-000035000000}"/>
              </a:ext>
            </a:extLst>
          </xdr:cNvPr>
          <xdr:cNvSpPr>
            <a:spLocks/>
          </xdr:cNvSpPr>
        </xdr:nvSpPr>
        <xdr:spPr bwMode="auto">
          <a:xfrm>
            <a:off x="887" y="185"/>
            <a:ext cx="7"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365" y="0"/>
                </a:moveTo>
                <a:lnTo>
                  <a:pt x="0" y="550"/>
                </a:lnTo>
                <a:lnTo>
                  <a:pt x="0" y="1591"/>
                </a:lnTo>
                <a:lnTo>
                  <a:pt x="365" y="0"/>
                </a:lnTo>
                <a:close/>
              </a:path>
            </a:pathLst>
          </a:custGeom>
          <a:solidFill>
            <a:srgbClr val="000000"/>
          </a:solidFill>
          <a:ln w="12700">
            <a:solidFill>
              <a:srgbClr val="000000"/>
            </a:solidFill>
            <a:round/>
            <a:headEnd/>
            <a:tailEnd/>
          </a:ln>
        </xdr:spPr>
      </xdr:sp>
      <xdr:sp macro="" textlink="">
        <xdr:nvSpPr>
          <xdr:cNvPr id="54" name="Freeform 53">
            <a:extLst>
              <a:ext uri="{FF2B5EF4-FFF2-40B4-BE49-F238E27FC236}">
                <a16:creationId xmlns:a16="http://schemas.microsoft.com/office/drawing/2014/main" id="{00000000-0008-0000-0200-000036000000}"/>
              </a:ext>
            </a:extLst>
          </xdr:cNvPr>
          <xdr:cNvSpPr>
            <a:spLocks/>
          </xdr:cNvSpPr>
        </xdr:nvSpPr>
        <xdr:spPr bwMode="auto">
          <a:xfrm>
            <a:off x="887" y="185"/>
            <a:ext cx="7"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365" y="0"/>
                </a:moveTo>
                <a:lnTo>
                  <a:pt x="0" y="550"/>
                </a:lnTo>
                <a:lnTo>
                  <a:pt x="0" y="1591"/>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5" name="Freeform 54">
            <a:extLst>
              <a:ext uri="{FF2B5EF4-FFF2-40B4-BE49-F238E27FC236}">
                <a16:creationId xmlns:a16="http://schemas.microsoft.com/office/drawing/2014/main" id="{00000000-0008-0000-0200-000037000000}"/>
              </a:ext>
            </a:extLst>
          </xdr:cNvPr>
          <xdr:cNvSpPr>
            <a:spLocks/>
          </xdr:cNvSpPr>
        </xdr:nvSpPr>
        <xdr:spPr bwMode="auto">
          <a:xfrm>
            <a:off x="879" y="185"/>
            <a:ext cx="8"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0" y="0"/>
                </a:moveTo>
                <a:lnTo>
                  <a:pt x="365" y="1591"/>
                </a:lnTo>
                <a:lnTo>
                  <a:pt x="365" y="550"/>
                </a:lnTo>
                <a:lnTo>
                  <a:pt x="0" y="0"/>
                </a:lnTo>
                <a:close/>
              </a:path>
            </a:pathLst>
          </a:custGeom>
          <a:solidFill>
            <a:srgbClr val="000000"/>
          </a:solidFill>
          <a:ln w="12700">
            <a:solidFill>
              <a:srgbClr val="000000"/>
            </a:solidFill>
            <a:round/>
            <a:headEnd/>
            <a:tailEnd/>
          </a:ln>
        </xdr:spPr>
      </xdr:sp>
      <xdr:sp macro="" textlink="">
        <xdr:nvSpPr>
          <xdr:cNvPr id="56" name="Freeform 55">
            <a:extLst>
              <a:ext uri="{FF2B5EF4-FFF2-40B4-BE49-F238E27FC236}">
                <a16:creationId xmlns:a16="http://schemas.microsoft.com/office/drawing/2014/main" id="{00000000-0008-0000-0200-000038000000}"/>
              </a:ext>
            </a:extLst>
          </xdr:cNvPr>
          <xdr:cNvSpPr>
            <a:spLocks/>
          </xdr:cNvSpPr>
        </xdr:nvSpPr>
        <xdr:spPr bwMode="auto">
          <a:xfrm>
            <a:off x="879" y="185"/>
            <a:ext cx="8" cy="33"/>
          </a:xfrm>
          <a:custGeom>
            <a:avLst/>
            <a:gdLst>
              <a:gd name="T0" fmla="*/ 0 w 365"/>
              <a:gd name="T1" fmla="*/ 0 h 1591"/>
              <a:gd name="T2" fmla="*/ 0 w 365"/>
              <a:gd name="T3" fmla="*/ 0 h 1591"/>
              <a:gd name="T4" fmla="*/ 0 w 365"/>
              <a:gd name="T5" fmla="*/ 0 h 1591"/>
              <a:gd name="T6" fmla="*/ 0 w 365"/>
              <a:gd name="T7" fmla="*/ 0 h 1591"/>
              <a:gd name="T8" fmla="*/ 0 60000 65536"/>
              <a:gd name="T9" fmla="*/ 0 60000 65536"/>
              <a:gd name="T10" fmla="*/ 0 60000 65536"/>
              <a:gd name="T11" fmla="*/ 0 60000 65536"/>
              <a:gd name="T12" fmla="*/ 0 w 365"/>
              <a:gd name="T13" fmla="*/ 0 h 1591"/>
              <a:gd name="T14" fmla="*/ 365 w 365"/>
              <a:gd name="T15" fmla="*/ 1591 h 1591"/>
            </a:gdLst>
            <a:ahLst/>
            <a:cxnLst>
              <a:cxn ang="T8">
                <a:pos x="T0" y="T1"/>
              </a:cxn>
              <a:cxn ang="T9">
                <a:pos x="T2" y="T3"/>
              </a:cxn>
              <a:cxn ang="T10">
                <a:pos x="T4" y="T5"/>
              </a:cxn>
              <a:cxn ang="T11">
                <a:pos x="T6" y="T7"/>
              </a:cxn>
            </a:cxnLst>
            <a:rect l="T12" t="T13" r="T14" b="T15"/>
            <a:pathLst>
              <a:path w="365" h="1591">
                <a:moveTo>
                  <a:pt x="0" y="0"/>
                </a:moveTo>
                <a:lnTo>
                  <a:pt x="365" y="1591"/>
                </a:lnTo>
                <a:lnTo>
                  <a:pt x="365" y="55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Freeform 56">
            <a:extLst>
              <a:ext uri="{FF2B5EF4-FFF2-40B4-BE49-F238E27FC236}">
                <a16:creationId xmlns:a16="http://schemas.microsoft.com/office/drawing/2014/main" id="{00000000-0008-0000-0200-000039000000}"/>
              </a:ext>
            </a:extLst>
          </xdr:cNvPr>
          <xdr:cNvSpPr>
            <a:spLocks/>
          </xdr:cNvSpPr>
        </xdr:nvSpPr>
        <xdr:spPr bwMode="auto">
          <a:xfrm>
            <a:off x="887" y="181"/>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72" y="0"/>
                </a:moveTo>
                <a:lnTo>
                  <a:pt x="0" y="746"/>
                </a:lnTo>
                <a:lnTo>
                  <a:pt x="365" y="196"/>
                </a:lnTo>
                <a:lnTo>
                  <a:pt x="172" y="0"/>
                </a:lnTo>
                <a:close/>
              </a:path>
            </a:pathLst>
          </a:custGeom>
          <a:solidFill>
            <a:srgbClr val="000000"/>
          </a:solidFill>
          <a:ln w="12700">
            <a:solidFill>
              <a:srgbClr val="000000"/>
            </a:solidFill>
            <a:round/>
            <a:headEnd/>
            <a:tailEnd/>
          </a:ln>
        </xdr:spPr>
      </xdr:sp>
      <xdr:sp macro="" textlink="">
        <xdr:nvSpPr>
          <xdr:cNvPr id="58" name="Freeform 57">
            <a:extLst>
              <a:ext uri="{FF2B5EF4-FFF2-40B4-BE49-F238E27FC236}">
                <a16:creationId xmlns:a16="http://schemas.microsoft.com/office/drawing/2014/main" id="{00000000-0008-0000-0200-00003A000000}"/>
              </a:ext>
            </a:extLst>
          </xdr:cNvPr>
          <xdr:cNvSpPr>
            <a:spLocks/>
          </xdr:cNvSpPr>
        </xdr:nvSpPr>
        <xdr:spPr bwMode="auto">
          <a:xfrm>
            <a:off x="887" y="181"/>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72" y="0"/>
                </a:moveTo>
                <a:lnTo>
                  <a:pt x="0" y="746"/>
                </a:lnTo>
                <a:lnTo>
                  <a:pt x="365" y="196"/>
                </a:lnTo>
                <a:lnTo>
                  <a:pt x="17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9" name="Freeform 58">
            <a:extLst>
              <a:ext uri="{FF2B5EF4-FFF2-40B4-BE49-F238E27FC236}">
                <a16:creationId xmlns:a16="http://schemas.microsoft.com/office/drawing/2014/main" id="{00000000-0008-0000-0200-00003B000000}"/>
              </a:ext>
            </a:extLst>
          </xdr:cNvPr>
          <xdr:cNvSpPr>
            <a:spLocks/>
          </xdr:cNvSpPr>
        </xdr:nvSpPr>
        <xdr:spPr bwMode="auto">
          <a:xfrm>
            <a:off x="879" y="181"/>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95" y="0"/>
                </a:moveTo>
                <a:lnTo>
                  <a:pt x="0" y="196"/>
                </a:lnTo>
                <a:lnTo>
                  <a:pt x="365" y="746"/>
                </a:lnTo>
                <a:lnTo>
                  <a:pt x="195" y="0"/>
                </a:lnTo>
                <a:close/>
              </a:path>
            </a:pathLst>
          </a:custGeom>
          <a:solidFill>
            <a:srgbClr val="000000"/>
          </a:solidFill>
          <a:ln w="12700">
            <a:solidFill>
              <a:srgbClr val="000000"/>
            </a:solidFill>
            <a:round/>
            <a:headEnd/>
            <a:tailEnd/>
          </a:ln>
        </xdr:spPr>
      </xdr:sp>
      <xdr:sp macro="" textlink="">
        <xdr:nvSpPr>
          <xdr:cNvPr id="60" name="Freeform 59">
            <a:extLst>
              <a:ext uri="{FF2B5EF4-FFF2-40B4-BE49-F238E27FC236}">
                <a16:creationId xmlns:a16="http://schemas.microsoft.com/office/drawing/2014/main" id="{00000000-0008-0000-0200-00003C000000}"/>
              </a:ext>
            </a:extLst>
          </xdr:cNvPr>
          <xdr:cNvSpPr>
            <a:spLocks/>
          </xdr:cNvSpPr>
        </xdr:nvSpPr>
        <xdr:spPr bwMode="auto">
          <a:xfrm>
            <a:off x="879" y="181"/>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195" y="0"/>
                </a:moveTo>
                <a:lnTo>
                  <a:pt x="0" y="196"/>
                </a:lnTo>
                <a:lnTo>
                  <a:pt x="365" y="746"/>
                </a:lnTo>
                <a:lnTo>
                  <a:pt x="19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Freeform 60">
            <a:extLst>
              <a:ext uri="{FF2B5EF4-FFF2-40B4-BE49-F238E27FC236}">
                <a16:creationId xmlns:a16="http://schemas.microsoft.com/office/drawing/2014/main" id="{00000000-0008-0000-0200-00003D000000}"/>
              </a:ext>
            </a:extLst>
          </xdr:cNvPr>
          <xdr:cNvSpPr>
            <a:spLocks/>
          </xdr:cNvSpPr>
        </xdr:nvSpPr>
        <xdr:spPr bwMode="auto">
          <a:xfrm>
            <a:off x="890" y="178"/>
            <a:ext cx="37" cy="7"/>
          </a:xfrm>
          <a:custGeom>
            <a:avLst/>
            <a:gdLst>
              <a:gd name="T0" fmla="*/ 0 w 1776"/>
              <a:gd name="T1" fmla="*/ 0 h 368"/>
              <a:gd name="T2" fmla="*/ 0 w 1776"/>
              <a:gd name="T3" fmla="*/ 0 h 368"/>
              <a:gd name="T4" fmla="*/ 0 w 1776"/>
              <a:gd name="T5" fmla="*/ 0 h 368"/>
              <a:gd name="T6" fmla="*/ 0 w 1776"/>
              <a:gd name="T7" fmla="*/ 0 h 368"/>
              <a:gd name="T8" fmla="*/ 0 60000 65536"/>
              <a:gd name="T9" fmla="*/ 0 60000 65536"/>
              <a:gd name="T10" fmla="*/ 0 60000 65536"/>
              <a:gd name="T11" fmla="*/ 0 60000 65536"/>
              <a:gd name="T12" fmla="*/ 0 w 1776"/>
              <a:gd name="T13" fmla="*/ 0 h 368"/>
              <a:gd name="T14" fmla="*/ 1776 w 1776"/>
              <a:gd name="T15" fmla="*/ 368 h 368"/>
            </a:gdLst>
            <a:ahLst/>
            <a:cxnLst>
              <a:cxn ang="T8">
                <a:pos x="T0" y="T1"/>
              </a:cxn>
              <a:cxn ang="T9">
                <a:pos x="T2" y="T3"/>
              </a:cxn>
              <a:cxn ang="T10">
                <a:pos x="T4" y="T5"/>
              </a:cxn>
              <a:cxn ang="T11">
                <a:pos x="T6" y="T7"/>
              </a:cxn>
            </a:cxnLst>
            <a:rect l="T12" t="T13" r="T14" b="T15"/>
            <a:pathLst>
              <a:path w="1776" h="368">
                <a:moveTo>
                  <a:pt x="1776" y="0"/>
                </a:moveTo>
                <a:lnTo>
                  <a:pt x="0" y="172"/>
                </a:lnTo>
                <a:lnTo>
                  <a:pt x="193" y="368"/>
                </a:lnTo>
                <a:lnTo>
                  <a:pt x="1776" y="0"/>
                </a:lnTo>
                <a:close/>
              </a:path>
            </a:pathLst>
          </a:custGeom>
          <a:solidFill>
            <a:srgbClr val="000000"/>
          </a:solidFill>
          <a:ln w="12700">
            <a:solidFill>
              <a:srgbClr val="000000"/>
            </a:solidFill>
            <a:round/>
            <a:headEnd/>
            <a:tailEnd/>
          </a:ln>
        </xdr:spPr>
      </xdr:sp>
      <xdr:sp macro="" textlink="">
        <xdr:nvSpPr>
          <xdr:cNvPr id="62" name="Freeform 61">
            <a:extLst>
              <a:ext uri="{FF2B5EF4-FFF2-40B4-BE49-F238E27FC236}">
                <a16:creationId xmlns:a16="http://schemas.microsoft.com/office/drawing/2014/main" id="{00000000-0008-0000-0200-00003E000000}"/>
              </a:ext>
            </a:extLst>
          </xdr:cNvPr>
          <xdr:cNvSpPr>
            <a:spLocks/>
          </xdr:cNvSpPr>
        </xdr:nvSpPr>
        <xdr:spPr bwMode="auto">
          <a:xfrm>
            <a:off x="890" y="178"/>
            <a:ext cx="37" cy="7"/>
          </a:xfrm>
          <a:custGeom>
            <a:avLst/>
            <a:gdLst>
              <a:gd name="T0" fmla="*/ 0 w 1776"/>
              <a:gd name="T1" fmla="*/ 0 h 368"/>
              <a:gd name="T2" fmla="*/ 0 w 1776"/>
              <a:gd name="T3" fmla="*/ 0 h 368"/>
              <a:gd name="T4" fmla="*/ 0 w 1776"/>
              <a:gd name="T5" fmla="*/ 0 h 368"/>
              <a:gd name="T6" fmla="*/ 0 w 1776"/>
              <a:gd name="T7" fmla="*/ 0 h 368"/>
              <a:gd name="T8" fmla="*/ 0 60000 65536"/>
              <a:gd name="T9" fmla="*/ 0 60000 65536"/>
              <a:gd name="T10" fmla="*/ 0 60000 65536"/>
              <a:gd name="T11" fmla="*/ 0 60000 65536"/>
              <a:gd name="T12" fmla="*/ 0 w 1776"/>
              <a:gd name="T13" fmla="*/ 0 h 368"/>
              <a:gd name="T14" fmla="*/ 1776 w 1776"/>
              <a:gd name="T15" fmla="*/ 368 h 368"/>
            </a:gdLst>
            <a:ahLst/>
            <a:cxnLst>
              <a:cxn ang="T8">
                <a:pos x="T0" y="T1"/>
              </a:cxn>
              <a:cxn ang="T9">
                <a:pos x="T2" y="T3"/>
              </a:cxn>
              <a:cxn ang="T10">
                <a:pos x="T4" y="T5"/>
              </a:cxn>
              <a:cxn ang="T11">
                <a:pos x="T6" y="T7"/>
              </a:cxn>
            </a:cxnLst>
            <a:rect l="T12" t="T13" r="T14" b="T15"/>
            <a:pathLst>
              <a:path w="1776" h="368">
                <a:moveTo>
                  <a:pt x="1776" y="0"/>
                </a:moveTo>
                <a:lnTo>
                  <a:pt x="0" y="172"/>
                </a:lnTo>
                <a:lnTo>
                  <a:pt x="193" y="368"/>
                </a:lnTo>
                <a:lnTo>
                  <a:pt x="1776"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3" name="Freeform 62">
            <a:extLst>
              <a:ext uri="{FF2B5EF4-FFF2-40B4-BE49-F238E27FC236}">
                <a16:creationId xmlns:a16="http://schemas.microsoft.com/office/drawing/2014/main" id="{00000000-0008-0000-0200-00003F000000}"/>
              </a:ext>
            </a:extLst>
          </xdr:cNvPr>
          <xdr:cNvSpPr>
            <a:spLocks/>
          </xdr:cNvSpPr>
        </xdr:nvSpPr>
        <xdr:spPr bwMode="auto">
          <a:xfrm>
            <a:off x="890" y="178"/>
            <a:ext cx="37" cy="3"/>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742" y="0"/>
                </a:moveTo>
                <a:lnTo>
                  <a:pt x="0" y="172"/>
                </a:lnTo>
                <a:lnTo>
                  <a:pt x="1776" y="0"/>
                </a:lnTo>
                <a:lnTo>
                  <a:pt x="742" y="0"/>
                </a:lnTo>
                <a:close/>
              </a:path>
            </a:pathLst>
          </a:custGeom>
          <a:solidFill>
            <a:srgbClr val="000000"/>
          </a:solidFill>
          <a:ln w="12700">
            <a:solidFill>
              <a:srgbClr val="000000"/>
            </a:solidFill>
            <a:round/>
            <a:headEnd/>
            <a:tailEnd/>
          </a:ln>
        </xdr:spPr>
      </xdr:sp>
      <xdr:sp macro="" textlink="">
        <xdr:nvSpPr>
          <xdr:cNvPr id="64" name="Freeform 63">
            <a:extLst>
              <a:ext uri="{FF2B5EF4-FFF2-40B4-BE49-F238E27FC236}">
                <a16:creationId xmlns:a16="http://schemas.microsoft.com/office/drawing/2014/main" id="{00000000-0008-0000-0200-000040000000}"/>
              </a:ext>
            </a:extLst>
          </xdr:cNvPr>
          <xdr:cNvSpPr>
            <a:spLocks/>
          </xdr:cNvSpPr>
        </xdr:nvSpPr>
        <xdr:spPr bwMode="auto">
          <a:xfrm>
            <a:off x="890" y="178"/>
            <a:ext cx="37" cy="3"/>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742" y="0"/>
                </a:moveTo>
                <a:lnTo>
                  <a:pt x="0" y="172"/>
                </a:lnTo>
                <a:lnTo>
                  <a:pt x="1776" y="0"/>
                </a:lnTo>
                <a:lnTo>
                  <a:pt x="74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 name="Freeform 64">
            <a:extLst>
              <a:ext uri="{FF2B5EF4-FFF2-40B4-BE49-F238E27FC236}">
                <a16:creationId xmlns:a16="http://schemas.microsoft.com/office/drawing/2014/main" id="{00000000-0008-0000-0200-000041000000}"/>
              </a:ext>
            </a:extLst>
          </xdr:cNvPr>
          <xdr:cNvSpPr>
            <a:spLocks/>
          </xdr:cNvSpPr>
        </xdr:nvSpPr>
        <xdr:spPr bwMode="auto">
          <a:xfrm>
            <a:off x="868" y="178"/>
            <a:ext cx="15" cy="7"/>
          </a:xfrm>
          <a:custGeom>
            <a:avLst/>
            <a:gdLst>
              <a:gd name="T0" fmla="*/ 0 w 743"/>
              <a:gd name="T1" fmla="*/ 0 h 368"/>
              <a:gd name="T2" fmla="*/ 0 w 743"/>
              <a:gd name="T3" fmla="*/ 0 h 368"/>
              <a:gd name="T4" fmla="*/ 0 w 743"/>
              <a:gd name="T5" fmla="*/ 0 h 368"/>
              <a:gd name="T6" fmla="*/ 0 w 743"/>
              <a:gd name="T7" fmla="*/ 0 h 368"/>
              <a:gd name="T8" fmla="*/ 0 60000 65536"/>
              <a:gd name="T9" fmla="*/ 0 60000 65536"/>
              <a:gd name="T10" fmla="*/ 0 60000 65536"/>
              <a:gd name="T11" fmla="*/ 0 60000 65536"/>
              <a:gd name="T12" fmla="*/ 0 w 743"/>
              <a:gd name="T13" fmla="*/ 0 h 368"/>
              <a:gd name="T14" fmla="*/ 743 w 743"/>
              <a:gd name="T15" fmla="*/ 368 h 368"/>
            </a:gdLst>
            <a:ahLst/>
            <a:cxnLst>
              <a:cxn ang="T8">
                <a:pos x="T0" y="T1"/>
              </a:cxn>
              <a:cxn ang="T9">
                <a:pos x="T2" y="T3"/>
              </a:cxn>
              <a:cxn ang="T10">
                <a:pos x="T4" y="T5"/>
              </a:cxn>
              <a:cxn ang="T11">
                <a:pos x="T6" y="T7"/>
              </a:cxn>
            </a:cxnLst>
            <a:rect l="T12" t="T13" r="T14" b="T15"/>
            <a:pathLst>
              <a:path w="743" h="368">
                <a:moveTo>
                  <a:pt x="0" y="0"/>
                </a:moveTo>
                <a:lnTo>
                  <a:pt x="548" y="368"/>
                </a:lnTo>
                <a:lnTo>
                  <a:pt x="743" y="172"/>
                </a:lnTo>
                <a:lnTo>
                  <a:pt x="0" y="0"/>
                </a:lnTo>
                <a:close/>
              </a:path>
            </a:pathLst>
          </a:custGeom>
          <a:solidFill>
            <a:srgbClr val="000000"/>
          </a:solidFill>
          <a:ln w="12700">
            <a:solidFill>
              <a:srgbClr val="000000"/>
            </a:solidFill>
            <a:round/>
            <a:headEnd/>
            <a:tailEnd/>
          </a:ln>
        </xdr:spPr>
      </xdr:sp>
      <xdr:sp macro="" textlink="">
        <xdr:nvSpPr>
          <xdr:cNvPr id="66" name="Freeform 65">
            <a:extLst>
              <a:ext uri="{FF2B5EF4-FFF2-40B4-BE49-F238E27FC236}">
                <a16:creationId xmlns:a16="http://schemas.microsoft.com/office/drawing/2014/main" id="{00000000-0008-0000-0200-000042000000}"/>
              </a:ext>
            </a:extLst>
          </xdr:cNvPr>
          <xdr:cNvSpPr>
            <a:spLocks/>
          </xdr:cNvSpPr>
        </xdr:nvSpPr>
        <xdr:spPr bwMode="auto">
          <a:xfrm>
            <a:off x="868" y="178"/>
            <a:ext cx="15" cy="7"/>
          </a:xfrm>
          <a:custGeom>
            <a:avLst/>
            <a:gdLst>
              <a:gd name="T0" fmla="*/ 0 w 743"/>
              <a:gd name="T1" fmla="*/ 0 h 368"/>
              <a:gd name="T2" fmla="*/ 0 w 743"/>
              <a:gd name="T3" fmla="*/ 0 h 368"/>
              <a:gd name="T4" fmla="*/ 0 w 743"/>
              <a:gd name="T5" fmla="*/ 0 h 368"/>
              <a:gd name="T6" fmla="*/ 0 w 743"/>
              <a:gd name="T7" fmla="*/ 0 h 368"/>
              <a:gd name="T8" fmla="*/ 0 60000 65536"/>
              <a:gd name="T9" fmla="*/ 0 60000 65536"/>
              <a:gd name="T10" fmla="*/ 0 60000 65536"/>
              <a:gd name="T11" fmla="*/ 0 60000 65536"/>
              <a:gd name="T12" fmla="*/ 0 w 743"/>
              <a:gd name="T13" fmla="*/ 0 h 368"/>
              <a:gd name="T14" fmla="*/ 743 w 743"/>
              <a:gd name="T15" fmla="*/ 368 h 368"/>
            </a:gdLst>
            <a:ahLst/>
            <a:cxnLst>
              <a:cxn ang="T8">
                <a:pos x="T0" y="T1"/>
              </a:cxn>
              <a:cxn ang="T9">
                <a:pos x="T2" y="T3"/>
              </a:cxn>
              <a:cxn ang="T10">
                <a:pos x="T4" y="T5"/>
              </a:cxn>
              <a:cxn ang="T11">
                <a:pos x="T6" y="T7"/>
              </a:cxn>
            </a:cxnLst>
            <a:rect l="T12" t="T13" r="T14" b="T15"/>
            <a:pathLst>
              <a:path w="743" h="368">
                <a:moveTo>
                  <a:pt x="0" y="0"/>
                </a:moveTo>
                <a:lnTo>
                  <a:pt x="548" y="368"/>
                </a:lnTo>
                <a:lnTo>
                  <a:pt x="743" y="17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Freeform 66">
            <a:extLst>
              <a:ext uri="{FF2B5EF4-FFF2-40B4-BE49-F238E27FC236}">
                <a16:creationId xmlns:a16="http://schemas.microsoft.com/office/drawing/2014/main" id="{00000000-0008-0000-0200-000043000000}"/>
              </a:ext>
            </a:extLst>
          </xdr:cNvPr>
          <xdr:cNvSpPr>
            <a:spLocks/>
          </xdr:cNvSpPr>
        </xdr:nvSpPr>
        <xdr:spPr bwMode="auto">
          <a:xfrm>
            <a:off x="847" y="178"/>
            <a:ext cx="32" cy="7"/>
          </a:xfrm>
          <a:custGeom>
            <a:avLst/>
            <a:gdLst>
              <a:gd name="T0" fmla="*/ 0 w 1582"/>
              <a:gd name="T1" fmla="*/ 0 h 368"/>
              <a:gd name="T2" fmla="*/ 0 w 1582"/>
              <a:gd name="T3" fmla="*/ 0 h 368"/>
              <a:gd name="T4" fmla="*/ 0 w 1582"/>
              <a:gd name="T5" fmla="*/ 0 h 368"/>
              <a:gd name="T6" fmla="*/ 0 w 1582"/>
              <a:gd name="T7" fmla="*/ 0 h 368"/>
              <a:gd name="T8" fmla="*/ 0 60000 65536"/>
              <a:gd name="T9" fmla="*/ 0 60000 65536"/>
              <a:gd name="T10" fmla="*/ 0 60000 65536"/>
              <a:gd name="T11" fmla="*/ 0 60000 65536"/>
              <a:gd name="T12" fmla="*/ 0 w 1582"/>
              <a:gd name="T13" fmla="*/ 0 h 368"/>
              <a:gd name="T14" fmla="*/ 1582 w 1582"/>
              <a:gd name="T15" fmla="*/ 368 h 368"/>
            </a:gdLst>
            <a:ahLst/>
            <a:cxnLst>
              <a:cxn ang="T8">
                <a:pos x="T0" y="T1"/>
              </a:cxn>
              <a:cxn ang="T9">
                <a:pos x="T2" y="T3"/>
              </a:cxn>
              <a:cxn ang="T10">
                <a:pos x="T4" y="T5"/>
              </a:cxn>
              <a:cxn ang="T11">
                <a:pos x="T6" y="T7"/>
              </a:cxn>
            </a:cxnLst>
            <a:rect l="T12" t="T13" r="T14" b="T15"/>
            <a:pathLst>
              <a:path w="1582" h="368">
                <a:moveTo>
                  <a:pt x="0" y="0"/>
                </a:moveTo>
                <a:lnTo>
                  <a:pt x="1582" y="368"/>
                </a:lnTo>
                <a:lnTo>
                  <a:pt x="1034" y="0"/>
                </a:lnTo>
                <a:lnTo>
                  <a:pt x="0" y="0"/>
                </a:lnTo>
                <a:close/>
              </a:path>
            </a:pathLst>
          </a:custGeom>
          <a:solidFill>
            <a:srgbClr val="000000"/>
          </a:solidFill>
          <a:ln w="12700">
            <a:solidFill>
              <a:srgbClr val="000000"/>
            </a:solidFill>
            <a:round/>
            <a:headEnd/>
            <a:tailEnd/>
          </a:ln>
        </xdr:spPr>
      </xdr:sp>
      <xdr:sp macro="" textlink="">
        <xdr:nvSpPr>
          <xdr:cNvPr id="68" name="Freeform 67">
            <a:extLst>
              <a:ext uri="{FF2B5EF4-FFF2-40B4-BE49-F238E27FC236}">
                <a16:creationId xmlns:a16="http://schemas.microsoft.com/office/drawing/2014/main" id="{00000000-0008-0000-0200-000044000000}"/>
              </a:ext>
            </a:extLst>
          </xdr:cNvPr>
          <xdr:cNvSpPr>
            <a:spLocks/>
          </xdr:cNvSpPr>
        </xdr:nvSpPr>
        <xdr:spPr bwMode="auto">
          <a:xfrm>
            <a:off x="847" y="178"/>
            <a:ext cx="32" cy="7"/>
          </a:xfrm>
          <a:custGeom>
            <a:avLst/>
            <a:gdLst>
              <a:gd name="T0" fmla="*/ 0 w 1582"/>
              <a:gd name="T1" fmla="*/ 0 h 368"/>
              <a:gd name="T2" fmla="*/ 0 w 1582"/>
              <a:gd name="T3" fmla="*/ 0 h 368"/>
              <a:gd name="T4" fmla="*/ 0 w 1582"/>
              <a:gd name="T5" fmla="*/ 0 h 368"/>
              <a:gd name="T6" fmla="*/ 0 w 1582"/>
              <a:gd name="T7" fmla="*/ 0 h 368"/>
              <a:gd name="T8" fmla="*/ 0 60000 65536"/>
              <a:gd name="T9" fmla="*/ 0 60000 65536"/>
              <a:gd name="T10" fmla="*/ 0 60000 65536"/>
              <a:gd name="T11" fmla="*/ 0 60000 65536"/>
              <a:gd name="T12" fmla="*/ 0 w 1582"/>
              <a:gd name="T13" fmla="*/ 0 h 368"/>
              <a:gd name="T14" fmla="*/ 1582 w 1582"/>
              <a:gd name="T15" fmla="*/ 368 h 368"/>
            </a:gdLst>
            <a:ahLst/>
            <a:cxnLst>
              <a:cxn ang="T8">
                <a:pos x="T0" y="T1"/>
              </a:cxn>
              <a:cxn ang="T9">
                <a:pos x="T2" y="T3"/>
              </a:cxn>
              <a:cxn ang="T10">
                <a:pos x="T4" y="T5"/>
              </a:cxn>
              <a:cxn ang="T11">
                <a:pos x="T6" y="T7"/>
              </a:cxn>
            </a:cxnLst>
            <a:rect l="T12" t="T13" r="T14" b="T15"/>
            <a:pathLst>
              <a:path w="1582" h="368">
                <a:moveTo>
                  <a:pt x="0" y="0"/>
                </a:moveTo>
                <a:lnTo>
                  <a:pt x="1582" y="368"/>
                </a:lnTo>
                <a:lnTo>
                  <a:pt x="1034" y="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9" name="Freeform 68">
            <a:extLst>
              <a:ext uri="{FF2B5EF4-FFF2-40B4-BE49-F238E27FC236}">
                <a16:creationId xmlns:a16="http://schemas.microsoft.com/office/drawing/2014/main" id="{00000000-0008-0000-0200-000045000000}"/>
              </a:ext>
            </a:extLst>
          </xdr:cNvPr>
          <xdr:cNvSpPr>
            <a:spLocks/>
          </xdr:cNvSpPr>
        </xdr:nvSpPr>
        <xdr:spPr bwMode="auto">
          <a:xfrm>
            <a:off x="890" y="174"/>
            <a:ext cx="37" cy="4"/>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0" y="0"/>
                </a:moveTo>
                <a:lnTo>
                  <a:pt x="742" y="172"/>
                </a:lnTo>
                <a:lnTo>
                  <a:pt x="1776" y="172"/>
                </a:lnTo>
                <a:lnTo>
                  <a:pt x="0" y="0"/>
                </a:lnTo>
                <a:close/>
              </a:path>
            </a:pathLst>
          </a:custGeom>
          <a:solidFill>
            <a:srgbClr val="000000"/>
          </a:solidFill>
          <a:ln w="12700">
            <a:solidFill>
              <a:srgbClr val="000000"/>
            </a:solidFill>
            <a:round/>
            <a:headEnd/>
            <a:tailEnd/>
          </a:ln>
        </xdr:spPr>
      </xdr:sp>
      <xdr:sp macro="" textlink="">
        <xdr:nvSpPr>
          <xdr:cNvPr id="70" name="Freeform 69">
            <a:extLst>
              <a:ext uri="{FF2B5EF4-FFF2-40B4-BE49-F238E27FC236}">
                <a16:creationId xmlns:a16="http://schemas.microsoft.com/office/drawing/2014/main" id="{00000000-0008-0000-0200-000046000000}"/>
              </a:ext>
            </a:extLst>
          </xdr:cNvPr>
          <xdr:cNvSpPr>
            <a:spLocks/>
          </xdr:cNvSpPr>
        </xdr:nvSpPr>
        <xdr:spPr bwMode="auto">
          <a:xfrm>
            <a:off x="890" y="174"/>
            <a:ext cx="37" cy="4"/>
          </a:xfrm>
          <a:custGeom>
            <a:avLst/>
            <a:gdLst>
              <a:gd name="T0" fmla="*/ 0 w 1776"/>
              <a:gd name="T1" fmla="*/ 0 h 172"/>
              <a:gd name="T2" fmla="*/ 0 w 1776"/>
              <a:gd name="T3" fmla="*/ 0 h 172"/>
              <a:gd name="T4" fmla="*/ 0 w 1776"/>
              <a:gd name="T5" fmla="*/ 0 h 172"/>
              <a:gd name="T6" fmla="*/ 0 w 1776"/>
              <a:gd name="T7" fmla="*/ 0 h 172"/>
              <a:gd name="T8" fmla="*/ 0 60000 65536"/>
              <a:gd name="T9" fmla="*/ 0 60000 65536"/>
              <a:gd name="T10" fmla="*/ 0 60000 65536"/>
              <a:gd name="T11" fmla="*/ 0 60000 65536"/>
              <a:gd name="T12" fmla="*/ 0 w 1776"/>
              <a:gd name="T13" fmla="*/ 0 h 172"/>
              <a:gd name="T14" fmla="*/ 1776 w 1776"/>
              <a:gd name="T15" fmla="*/ 172 h 172"/>
            </a:gdLst>
            <a:ahLst/>
            <a:cxnLst>
              <a:cxn ang="T8">
                <a:pos x="T0" y="T1"/>
              </a:cxn>
              <a:cxn ang="T9">
                <a:pos x="T2" y="T3"/>
              </a:cxn>
              <a:cxn ang="T10">
                <a:pos x="T4" y="T5"/>
              </a:cxn>
              <a:cxn ang="T11">
                <a:pos x="T6" y="T7"/>
              </a:cxn>
            </a:cxnLst>
            <a:rect l="T12" t="T13" r="T14" b="T15"/>
            <a:pathLst>
              <a:path w="1776" h="172">
                <a:moveTo>
                  <a:pt x="0" y="0"/>
                </a:moveTo>
                <a:lnTo>
                  <a:pt x="742" y="172"/>
                </a:lnTo>
                <a:lnTo>
                  <a:pt x="1776" y="17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Freeform 70">
            <a:extLst>
              <a:ext uri="{FF2B5EF4-FFF2-40B4-BE49-F238E27FC236}">
                <a16:creationId xmlns:a16="http://schemas.microsoft.com/office/drawing/2014/main" id="{00000000-0008-0000-0200-000047000000}"/>
              </a:ext>
            </a:extLst>
          </xdr:cNvPr>
          <xdr:cNvSpPr>
            <a:spLocks/>
          </xdr:cNvSpPr>
        </xdr:nvSpPr>
        <xdr:spPr bwMode="auto">
          <a:xfrm>
            <a:off x="847" y="174"/>
            <a:ext cx="36" cy="4"/>
          </a:xfrm>
          <a:custGeom>
            <a:avLst/>
            <a:gdLst>
              <a:gd name="T0" fmla="*/ 0 w 1777"/>
              <a:gd name="T1" fmla="*/ 0 h 172"/>
              <a:gd name="T2" fmla="*/ 0 w 1777"/>
              <a:gd name="T3" fmla="*/ 0 h 172"/>
              <a:gd name="T4" fmla="*/ 0 w 1777"/>
              <a:gd name="T5" fmla="*/ 0 h 172"/>
              <a:gd name="T6" fmla="*/ 0 w 1777"/>
              <a:gd name="T7" fmla="*/ 0 h 172"/>
              <a:gd name="T8" fmla="*/ 0 60000 65536"/>
              <a:gd name="T9" fmla="*/ 0 60000 65536"/>
              <a:gd name="T10" fmla="*/ 0 60000 65536"/>
              <a:gd name="T11" fmla="*/ 0 60000 65536"/>
              <a:gd name="T12" fmla="*/ 0 w 1777"/>
              <a:gd name="T13" fmla="*/ 0 h 172"/>
              <a:gd name="T14" fmla="*/ 1777 w 1777"/>
              <a:gd name="T15" fmla="*/ 172 h 172"/>
            </a:gdLst>
            <a:ahLst/>
            <a:cxnLst>
              <a:cxn ang="T8">
                <a:pos x="T0" y="T1"/>
              </a:cxn>
              <a:cxn ang="T9">
                <a:pos x="T2" y="T3"/>
              </a:cxn>
              <a:cxn ang="T10">
                <a:pos x="T4" y="T5"/>
              </a:cxn>
              <a:cxn ang="T11">
                <a:pos x="T6" y="T7"/>
              </a:cxn>
            </a:cxnLst>
            <a:rect l="T12" t="T13" r="T14" b="T15"/>
            <a:pathLst>
              <a:path w="1777" h="172">
                <a:moveTo>
                  <a:pt x="1777" y="0"/>
                </a:moveTo>
                <a:lnTo>
                  <a:pt x="0" y="172"/>
                </a:lnTo>
                <a:lnTo>
                  <a:pt x="1034" y="172"/>
                </a:lnTo>
                <a:lnTo>
                  <a:pt x="1777" y="0"/>
                </a:lnTo>
                <a:close/>
              </a:path>
            </a:pathLst>
          </a:custGeom>
          <a:solidFill>
            <a:srgbClr val="000000"/>
          </a:solidFill>
          <a:ln w="12700">
            <a:solidFill>
              <a:srgbClr val="000000"/>
            </a:solidFill>
            <a:round/>
            <a:headEnd/>
            <a:tailEnd/>
          </a:ln>
        </xdr:spPr>
      </xdr:sp>
      <xdr:sp macro="" textlink="">
        <xdr:nvSpPr>
          <xdr:cNvPr id="72" name="Freeform 71">
            <a:extLst>
              <a:ext uri="{FF2B5EF4-FFF2-40B4-BE49-F238E27FC236}">
                <a16:creationId xmlns:a16="http://schemas.microsoft.com/office/drawing/2014/main" id="{00000000-0008-0000-0200-000048000000}"/>
              </a:ext>
            </a:extLst>
          </xdr:cNvPr>
          <xdr:cNvSpPr>
            <a:spLocks/>
          </xdr:cNvSpPr>
        </xdr:nvSpPr>
        <xdr:spPr bwMode="auto">
          <a:xfrm>
            <a:off x="847" y="174"/>
            <a:ext cx="36" cy="4"/>
          </a:xfrm>
          <a:custGeom>
            <a:avLst/>
            <a:gdLst>
              <a:gd name="T0" fmla="*/ 0 w 1777"/>
              <a:gd name="T1" fmla="*/ 0 h 172"/>
              <a:gd name="T2" fmla="*/ 0 w 1777"/>
              <a:gd name="T3" fmla="*/ 0 h 172"/>
              <a:gd name="T4" fmla="*/ 0 w 1777"/>
              <a:gd name="T5" fmla="*/ 0 h 172"/>
              <a:gd name="T6" fmla="*/ 0 w 1777"/>
              <a:gd name="T7" fmla="*/ 0 h 172"/>
              <a:gd name="T8" fmla="*/ 0 60000 65536"/>
              <a:gd name="T9" fmla="*/ 0 60000 65536"/>
              <a:gd name="T10" fmla="*/ 0 60000 65536"/>
              <a:gd name="T11" fmla="*/ 0 60000 65536"/>
              <a:gd name="T12" fmla="*/ 0 w 1777"/>
              <a:gd name="T13" fmla="*/ 0 h 172"/>
              <a:gd name="T14" fmla="*/ 1777 w 1777"/>
              <a:gd name="T15" fmla="*/ 172 h 172"/>
            </a:gdLst>
            <a:ahLst/>
            <a:cxnLst>
              <a:cxn ang="T8">
                <a:pos x="T0" y="T1"/>
              </a:cxn>
              <a:cxn ang="T9">
                <a:pos x="T2" y="T3"/>
              </a:cxn>
              <a:cxn ang="T10">
                <a:pos x="T4" y="T5"/>
              </a:cxn>
              <a:cxn ang="T11">
                <a:pos x="T6" y="T7"/>
              </a:cxn>
            </a:cxnLst>
            <a:rect l="T12" t="T13" r="T14" b="T15"/>
            <a:pathLst>
              <a:path w="1777" h="172">
                <a:moveTo>
                  <a:pt x="1777" y="0"/>
                </a:moveTo>
                <a:lnTo>
                  <a:pt x="0" y="172"/>
                </a:lnTo>
                <a:lnTo>
                  <a:pt x="1034" y="172"/>
                </a:lnTo>
                <a:lnTo>
                  <a:pt x="1777"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Freeform 72">
            <a:extLst>
              <a:ext uri="{FF2B5EF4-FFF2-40B4-BE49-F238E27FC236}">
                <a16:creationId xmlns:a16="http://schemas.microsoft.com/office/drawing/2014/main" id="{00000000-0008-0000-0200-000049000000}"/>
              </a:ext>
            </a:extLst>
          </xdr:cNvPr>
          <xdr:cNvSpPr>
            <a:spLocks/>
          </xdr:cNvSpPr>
        </xdr:nvSpPr>
        <xdr:spPr bwMode="auto">
          <a:xfrm>
            <a:off x="890" y="170"/>
            <a:ext cx="37" cy="8"/>
          </a:xfrm>
          <a:custGeom>
            <a:avLst/>
            <a:gdLst>
              <a:gd name="T0" fmla="*/ 0 w 1776"/>
              <a:gd name="T1" fmla="*/ 0 h 367"/>
              <a:gd name="T2" fmla="*/ 0 w 1776"/>
              <a:gd name="T3" fmla="*/ 0 h 367"/>
              <a:gd name="T4" fmla="*/ 0 w 1776"/>
              <a:gd name="T5" fmla="*/ 0 h 367"/>
              <a:gd name="T6" fmla="*/ 0 w 1776"/>
              <a:gd name="T7" fmla="*/ 0 h 367"/>
              <a:gd name="T8" fmla="*/ 0 60000 65536"/>
              <a:gd name="T9" fmla="*/ 0 60000 65536"/>
              <a:gd name="T10" fmla="*/ 0 60000 65536"/>
              <a:gd name="T11" fmla="*/ 0 60000 65536"/>
              <a:gd name="T12" fmla="*/ 0 w 1776"/>
              <a:gd name="T13" fmla="*/ 0 h 367"/>
              <a:gd name="T14" fmla="*/ 1776 w 1776"/>
              <a:gd name="T15" fmla="*/ 367 h 367"/>
            </a:gdLst>
            <a:ahLst/>
            <a:cxnLst>
              <a:cxn ang="T8">
                <a:pos x="T0" y="T1"/>
              </a:cxn>
              <a:cxn ang="T9">
                <a:pos x="T2" y="T3"/>
              </a:cxn>
              <a:cxn ang="T10">
                <a:pos x="T4" y="T5"/>
              </a:cxn>
              <a:cxn ang="T11">
                <a:pos x="T6" y="T7"/>
              </a:cxn>
            </a:cxnLst>
            <a:rect l="T12" t="T13" r="T14" b="T15"/>
            <a:pathLst>
              <a:path w="1776" h="367">
                <a:moveTo>
                  <a:pt x="193" y="0"/>
                </a:moveTo>
                <a:lnTo>
                  <a:pt x="0" y="195"/>
                </a:lnTo>
                <a:lnTo>
                  <a:pt x="1776" y="367"/>
                </a:lnTo>
                <a:lnTo>
                  <a:pt x="193" y="0"/>
                </a:lnTo>
                <a:close/>
              </a:path>
            </a:pathLst>
          </a:custGeom>
          <a:solidFill>
            <a:srgbClr val="000000"/>
          </a:solidFill>
          <a:ln w="12700">
            <a:solidFill>
              <a:srgbClr val="000000"/>
            </a:solidFill>
            <a:round/>
            <a:headEnd/>
            <a:tailEnd/>
          </a:ln>
        </xdr:spPr>
      </xdr:sp>
      <xdr:sp macro="" textlink="">
        <xdr:nvSpPr>
          <xdr:cNvPr id="74" name="Freeform 73">
            <a:extLst>
              <a:ext uri="{FF2B5EF4-FFF2-40B4-BE49-F238E27FC236}">
                <a16:creationId xmlns:a16="http://schemas.microsoft.com/office/drawing/2014/main" id="{00000000-0008-0000-0200-00004A000000}"/>
              </a:ext>
            </a:extLst>
          </xdr:cNvPr>
          <xdr:cNvSpPr>
            <a:spLocks/>
          </xdr:cNvSpPr>
        </xdr:nvSpPr>
        <xdr:spPr bwMode="auto">
          <a:xfrm>
            <a:off x="890" y="170"/>
            <a:ext cx="37" cy="8"/>
          </a:xfrm>
          <a:custGeom>
            <a:avLst/>
            <a:gdLst>
              <a:gd name="T0" fmla="*/ 0 w 1776"/>
              <a:gd name="T1" fmla="*/ 0 h 367"/>
              <a:gd name="T2" fmla="*/ 0 w 1776"/>
              <a:gd name="T3" fmla="*/ 0 h 367"/>
              <a:gd name="T4" fmla="*/ 0 w 1776"/>
              <a:gd name="T5" fmla="*/ 0 h 367"/>
              <a:gd name="T6" fmla="*/ 0 w 1776"/>
              <a:gd name="T7" fmla="*/ 0 h 367"/>
              <a:gd name="T8" fmla="*/ 0 60000 65536"/>
              <a:gd name="T9" fmla="*/ 0 60000 65536"/>
              <a:gd name="T10" fmla="*/ 0 60000 65536"/>
              <a:gd name="T11" fmla="*/ 0 60000 65536"/>
              <a:gd name="T12" fmla="*/ 0 w 1776"/>
              <a:gd name="T13" fmla="*/ 0 h 367"/>
              <a:gd name="T14" fmla="*/ 1776 w 1776"/>
              <a:gd name="T15" fmla="*/ 367 h 367"/>
            </a:gdLst>
            <a:ahLst/>
            <a:cxnLst>
              <a:cxn ang="T8">
                <a:pos x="T0" y="T1"/>
              </a:cxn>
              <a:cxn ang="T9">
                <a:pos x="T2" y="T3"/>
              </a:cxn>
              <a:cxn ang="T10">
                <a:pos x="T4" y="T5"/>
              </a:cxn>
              <a:cxn ang="T11">
                <a:pos x="T6" y="T7"/>
              </a:cxn>
            </a:cxnLst>
            <a:rect l="T12" t="T13" r="T14" b="T15"/>
            <a:pathLst>
              <a:path w="1776" h="367">
                <a:moveTo>
                  <a:pt x="193" y="0"/>
                </a:moveTo>
                <a:lnTo>
                  <a:pt x="0" y="195"/>
                </a:lnTo>
                <a:lnTo>
                  <a:pt x="1776" y="367"/>
                </a:lnTo>
                <a:lnTo>
                  <a:pt x="193"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5" name="Freeform 74">
            <a:extLst>
              <a:ext uri="{FF2B5EF4-FFF2-40B4-BE49-F238E27FC236}">
                <a16:creationId xmlns:a16="http://schemas.microsoft.com/office/drawing/2014/main" id="{00000000-0008-0000-0200-00004B000000}"/>
              </a:ext>
            </a:extLst>
          </xdr:cNvPr>
          <xdr:cNvSpPr>
            <a:spLocks/>
          </xdr:cNvSpPr>
        </xdr:nvSpPr>
        <xdr:spPr bwMode="auto">
          <a:xfrm>
            <a:off x="847" y="170"/>
            <a:ext cx="36" cy="8"/>
          </a:xfrm>
          <a:custGeom>
            <a:avLst/>
            <a:gdLst>
              <a:gd name="T0" fmla="*/ 0 w 1777"/>
              <a:gd name="T1" fmla="*/ 0 h 367"/>
              <a:gd name="T2" fmla="*/ 0 w 1777"/>
              <a:gd name="T3" fmla="*/ 0 h 367"/>
              <a:gd name="T4" fmla="*/ 0 w 1777"/>
              <a:gd name="T5" fmla="*/ 0 h 367"/>
              <a:gd name="T6" fmla="*/ 0 w 1777"/>
              <a:gd name="T7" fmla="*/ 0 h 367"/>
              <a:gd name="T8" fmla="*/ 0 60000 65536"/>
              <a:gd name="T9" fmla="*/ 0 60000 65536"/>
              <a:gd name="T10" fmla="*/ 0 60000 65536"/>
              <a:gd name="T11" fmla="*/ 0 60000 65536"/>
              <a:gd name="T12" fmla="*/ 0 w 1777"/>
              <a:gd name="T13" fmla="*/ 0 h 367"/>
              <a:gd name="T14" fmla="*/ 1777 w 1777"/>
              <a:gd name="T15" fmla="*/ 367 h 367"/>
            </a:gdLst>
            <a:ahLst/>
            <a:cxnLst>
              <a:cxn ang="T8">
                <a:pos x="T0" y="T1"/>
              </a:cxn>
              <a:cxn ang="T9">
                <a:pos x="T2" y="T3"/>
              </a:cxn>
              <a:cxn ang="T10">
                <a:pos x="T4" y="T5"/>
              </a:cxn>
              <a:cxn ang="T11">
                <a:pos x="T6" y="T7"/>
              </a:cxn>
            </a:cxnLst>
            <a:rect l="T12" t="T13" r="T14" b="T15"/>
            <a:pathLst>
              <a:path w="1777" h="367">
                <a:moveTo>
                  <a:pt x="1582" y="0"/>
                </a:moveTo>
                <a:lnTo>
                  <a:pt x="0" y="367"/>
                </a:lnTo>
                <a:lnTo>
                  <a:pt x="1777" y="195"/>
                </a:lnTo>
                <a:lnTo>
                  <a:pt x="1582" y="0"/>
                </a:lnTo>
                <a:close/>
              </a:path>
            </a:pathLst>
          </a:custGeom>
          <a:solidFill>
            <a:srgbClr val="000000"/>
          </a:solidFill>
          <a:ln w="12700">
            <a:solidFill>
              <a:srgbClr val="000000"/>
            </a:solidFill>
            <a:round/>
            <a:headEnd/>
            <a:tailEnd/>
          </a:ln>
        </xdr:spPr>
      </xdr:sp>
      <xdr:sp macro="" textlink="">
        <xdr:nvSpPr>
          <xdr:cNvPr id="76" name="Freeform 75">
            <a:extLst>
              <a:ext uri="{FF2B5EF4-FFF2-40B4-BE49-F238E27FC236}">
                <a16:creationId xmlns:a16="http://schemas.microsoft.com/office/drawing/2014/main" id="{00000000-0008-0000-0200-00004C000000}"/>
              </a:ext>
            </a:extLst>
          </xdr:cNvPr>
          <xdr:cNvSpPr>
            <a:spLocks/>
          </xdr:cNvSpPr>
        </xdr:nvSpPr>
        <xdr:spPr bwMode="auto">
          <a:xfrm>
            <a:off x="847" y="170"/>
            <a:ext cx="36" cy="8"/>
          </a:xfrm>
          <a:custGeom>
            <a:avLst/>
            <a:gdLst>
              <a:gd name="T0" fmla="*/ 0 w 1777"/>
              <a:gd name="T1" fmla="*/ 0 h 367"/>
              <a:gd name="T2" fmla="*/ 0 w 1777"/>
              <a:gd name="T3" fmla="*/ 0 h 367"/>
              <a:gd name="T4" fmla="*/ 0 w 1777"/>
              <a:gd name="T5" fmla="*/ 0 h 367"/>
              <a:gd name="T6" fmla="*/ 0 w 1777"/>
              <a:gd name="T7" fmla="*/ 0 h 367"/>
              <a:gd name="T8" fmla="*/ 0 60000 65536"/>
              <a:gd name="T9" fmla="*/ 0 60000 65536"/>
              <a:gd name="T10" fmla="*/ 0 60000 65536"/>
              <a:gd name="T11" fmla="*/ 0 60000 65536"/>
              <a:gd name="T12" fmla="*/ 0 w 1777"/>
              <a:gd name="T13" fmla="*/ 0 h 367"/>
              <a:gd name="T14" fmla="*/ 1777 w 1777"/>
              <a:gd name="T15" fmla="*/ 367 h 367"/>
            </a:gdLst>
            <a:ahLst/>
            <a:cxnLst>
              <a:cxn ang="T8">
                <a:pos x="T0" y="T1"/>
              </a:cxn>
              <a:cxn ang="T9">
                <a:pos x="T2" y="T3"/>
              </a:cxn>
              <a:cxn ang="T10">
                <a:pos x="T4" y="T5"/>
              </a:cxn>
              <a:cxn ang="T11">
                <a:pos x="T6" y="T7"/>
              </a:cxn>
            </a:cxnLst>
            <a:rect l="T12" t="T13" r="T14" b="T15"/>
            <a:pathLst>
              <a:path w="1777" h="367">
                <a:moveTo>
                  <a:pt x="1582" y="0"/>
                </a:moveTo>
                <a:lnTo>
                  <a:pt x="0" y="367"/>
                </a:lnTo>
                <a:lnTo>
                  <a:pt x="1777" y="195"/>
                </a:lnTo>
                <a:lnTo>
                  <a:pt x="1582"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7" name="Freeform 76">
            <a:extLst>
              <a:ext uri="{FF2B5EF4-FFF2-40B4-BE49-F238E27FC236}">
                <a16:creationId xmlns:a16="http://schemas.microsoft.com/office/drawing/2014/main" id="{00000000-0008-0000-0200-00004D000000}"/>
              </a:ext>
            </a:extLst>
          </xdr:cNvPr>
          <xdr:cNvSpPr>
            <a:spLocks/>
          </xdr:cNvSpPr>
        </xdr:nvSpPr>
        <xdr:spPr bwMode="auto">
          <a:xfrm>
            <a:off x="879" y="159"/>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365" y="0"/>
                </a:moveTo>
                <a:lnTo>
                  <a:pt x="0" y="551"/>
                </a:lnTo>
                <a:lnTo>
                  <a:pt x="195" y="746"/>
                </a:lnTo>
                <a:lnTo>
                  <a:pt x="365" y="0"/>
                </a:lnTo>
                <a:close/>
              </a:path>
            </a:pathLst>
          </a:custGeom>
          <a:solidFill>
            <a:srgbClr val="000000"/>
          </a:solidFill>
          <a:ln w="12700">
            <a:solidFill>
              <a:srgbClr val="000000"/>
            </a:solidFill>
            <a:round/>
            <a:headEnd/>
            <a:tailEnd/>
          </a:ln>
        </xdr:spPr>
      </xdr:sp>
      <xdr:sp macro="" textlink="">
        <xdr:nvSpPr>
          <xdr:cNvPr id="78" name="Freeform 77">
            <a:extLst>
              <a:ext uri="{FF2B5EF4-FFF2-40B4-BE49-F238E27FC236}">
                <a16:creationId xmlns:a16="http://schemas.microsoft.com/office/drawing/2014/main" id="{00000000-0008-0000-0200-00004E000000}"/>
              </a:ext>
            </a:extLst>
          </xdr:cNvPr>
          <xdr:cNvSpPr>
            <a:spLocks/>
          </xdr:cNvSpPr>
        </xdr:nvSpPr>
        <xdr:spPr bwMode="auto">
          <a:xfrm>
            <a:off x="879" y="159"/>
            <a:ext cx="8"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365" y="0"/>
                </a:moveTo>
                <a:lnTo>
                  <a:pt x="0" y="551"/>
                </a:lnTo>
                <a:lnTo>
                  <a:pt x="195" y="746"/>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9" name="Freeform 78">
            <a:extLst>
              <a:ext uri="{FF2B5EF4-FFF2-40B4-BE49-F238E27FC236}">
                <a16:creationId xmlns:a16="http://schemas.microsoft.com/office/drawing/2014/main" id="{00000000-0008-0000-0200-00004F000000}"/>
              </a:ext>
            </a:extLst>
          </xdr:cNvPr>
          <xdr:cNvSpPr>
            <a:spLocks/>
          </xdr:cNvSpPr>
        </xdr:nvSpPr>
        <xdr:spPr bwMode="auto">
          <a:xfrm>
            <a:off x="887" y="159"/>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0" y="0"/>
                </a:moveTo>
                <a:lnTo>
                  <a:pt x="172" y="746"/>
                </a:lnTo>
                <a:lnTo>
                  <a:pt x="365" y="551"/>
                </a:lnTo>
                <a:lnTo>
                  <a:pt x="0" y="0"/>
                </a:lnTo>
                <a:close/>
              </a:path>
            </a:pathLst>
          </a:custGeom>
          <a:solidFill>
            <a:srgbClr val="000000"/>
          </a:solidFill>
          <a:ln w="12700">
            <a:solidFill>
              <a:srgbClr val="000000"/>
            </a:solidFill>
            <a:round/>
            <a:headEnd/>
            <a:tailEnd/>
          </a:ln>
        </xdr:spPr>
      </xdr:sp>
      <xdr:sp macro="" textlink="">
        <xdr:nvSpPr>
          <xdr:cNvPr id="80" name="Freeform 79">
            <a:extLst>
              <a:ext uri="{FF2B5EF4-FFF2-40B4-BE49-F238E27FC236}">
                <a16:creationId xmlns:a16="http://schemas.microsoft.com/office/drawing/2014/main" id="{00000000-0008-0000-0200-000050000000}"/>
              </a:ext>
            </a:extLst>
          </xdr:cNvPr>
          <xdr:cNvSpPr>
            <a:spLocks/>
          </xdr:cNvSpPr>
        </xdr:nvSpPr>
        <xdr:spPr bwMode="auto">
          <a:xfrm>
            <a:off x="887" y="159"/>
            <a:ext cx="7" cy="15"/>
          </a:xfrm>
          <a:custGeom>
            <a:avLst/>
            <a:gdLst>
              <a:gd name="T0" fmla="*/ 0 w 365"/>
              <a:gd name="T1" fmla="*/ 0 h 746"/>
              <a:gd name="T2" fmla="*/ 0 w 365"/>
              <a:gd name="T3" fmla="*/ 0 h 746"/>
              <a:gd name="T4" fmla="*/ 0 w 365"/>
              <a:gd name="T5" fmla="*/ 0 h 746"/>
              <a:gd name="T6" fmla="*/ 0 w 365"/>
              <a:gd name="T7" fmla="*/ 0 h 746"/>
              <a:gd name="T8" fmla="*/ 0 60000 65536"/>
              <a:gd name="T9" fmla="*/ 0 60000 65536"/>
              <a:gd name="T10" fmla="*/ 0 60000 65536"/>
              <a:gd name="T11" fmla="*/ 0 60000 65536"/>
              <a:gd name="T12" fmla="*/ 0 w 365"/>
              <a:gd name="T13" fmla="*/ 0 h 746"/>
              <a:gd name="T14" fmla="*/ 365 w 365"/>
              <a:gd name="T15" fmla="*/ 746 h 746"/>
            </a:gdLst>
            <a:ahLst/>
            <a:cxnLst>
              <a:cxn ang="T8">
                <a:pos x="T0" y="T1"/>
              </a:cxn>
              <a:cxn ang="T9">
                <a:pos x="T2" y="T3"/>
              </a:cxn>
              <a:cxn ang="T10">
                <a:pos x="T4" y="T5"/>
              </a:cxn>
              <a:cxn ang="T11">
                <a:pos x="T6" y="T7"/>
              </a:cxn>
            </a:cxnLst>
            <a:rect l="T12" t="T13" r="T14" b="T15"/>
            <a:pathLst>
              <a:path w="365" h="746">
                <a:moveTo>
                  <a:pt x="0" y="0"/>
                </a:moveTo>
                <a:lnTo>
                  <a:pt x="172" y="746"/>
                </a:lnTo>
                <a:lnTo>
                  <a:pt x="365" y="551"/>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Freeform 80">
            <a:extLst>
              <a:ext uri="{FF2B5EF4-FFF2-40B4-BE49-F238E27FC236}">
                <a16:creationId xmlns:a16="http://schemas.microsoft.com/office/drawing/2014/main" id="{00000000-0008-0000-0200-000051000000}"/>
              </a:ext>
            </a:extLst>
          </xdr:cNvPr>
          <xdr:cNvSpPr>
            <a:spLocks/>
          </xdr:cNvSpPr>
        </xdr:nvSpPr>
        <xdr:spPr bwMode="auto">
          <a:xfrm>
            <a:off x="879" y="138"/>
            <a:ext cx="8"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365" y="0"/>
                </a:moveTo>
                <a:lnTo>
                  <a:pt x="0" y="1590"/>
                </a:lnTo>
                <a:lnTo>
                  <a:pt x="365" y="1039"/>
                </a:lnTo>
                <a:lnTo>
                  <a:pt x="365" y="0"/>
                </a:lnTo>
                <a:close/>
              </a:path>
            </a:pathLst>
          </a:custGeom>
          <a:solidFill>
            <a:srgbClr val="000000"/>
          </a:solidFill>
          <a:ln w="12700">
            <a:solidFill>
              <a:srgbClr val="000000"/>
            </a:solidFill>
            <a:round/>
            <a:headEnd/>
            <a:tailEnd/>
          </a:ln>
        </xdr:spPr>
      </xdr:sp>
      <xdr:sp macro="" textlink="">
        <xdr:nvSpPr>
          <xdr:cNvPr id="82" name="Freeform 81">
            <a:extLst>
              <a:ext uri="{FF2B5EF4-FFF2-40B4-BE49-F238E27FC236}">
                <a16:creationId xmlns:a16="http://schemas.microsoft.com/office/drawing/2014/main" id="{00000000-0008-0000-0200-000052000000}"/>
              </a:ext>
            </a:extLst>
          </xdr:cNvPr>
          <xdr:cNvSpPr>
            <a:spLocks/>
          </xdr:cNvSpPr>
        </xdr:nvSpPr>
        <xdr:spPr bwMode="auto">
          <a:xfrm>
            <a:off x="879" y="138"/>
            <a:ext cx="8"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365" y="0"/>
                </a:moveTo>
                <a:lnTo>
                  <a:pt x="0" y="1590"/>
                </a:lnTo>
                <a:lnTo>
                  <a:pt x="365" y="1039"/>
                </a:lnTo>
                <a:lnTo>
                  <a:pt x="36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3" name="Freeform 82">
            <a:extLst>
              <a:ext uri="{FF2B5EF4-FFF2-40B4-BE49-F238E27FC236}">
                <a16:creationId xmlns:a16="http://schemas.microsoft.com/office/drawing/2014/main" id="{00000000-0008-0000-0200-000053000000}"/>
              </a:ext>
            </a:extLst>
          </xdr:cNvPr>
          <xdr:cNvSpPr>
            <a:spLocks/>
          </xdr:cNvSpPr>
        </xdr:nvSpPr>
        <xdr:spPr bwMode="auto">
          <a:xfrm>
            <a:off x="887" y="138"/>
            <a:ext cx="7"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0" y="0"/>
                </a:moveTo>
                <a:lnTo>
                  <a:pt x="0" y="1039"/>
                </a:lnTo>
                <a:lnTo>
                  <a:pt x="365" y="1590"/>
                </a:lnTo>
                <a:lnTo>
                  <a:pt x="0" y="0"/>
                </a:lnTo>
                <a:close/>
              </a:path>
            </a:pathLst>
          </a:custGeom>
          <a:solidFill>
            <a:srgbClr val="000000"/>
          </a:solidFill>
          <a:ln w="12700">
            <a:solidFill>
              <a:srgbClr val="000000"/>
            </a:solidFill>
            <a:round/>
            <a:headEnd/>
            <a:tailEnd/>
          </a:ln>
        </xdr:spPr>
      </xdr:sp>
      <xdr:sp macro="" textlink="">
        <xdr:nvSpPr>
          <xdr:cNvPr id="84" name="Freeform 83">
            <a:extLst>
              <a:ext uri="{FF2B5EF4-FFF2-40B4-BE49-F238E27FC236}">
                <a16:creationId xmlns:a16="http://schemas.microsoft.com/office/drawing/2014/main" id="{00000000-0008-0000-0200-000054000000}"/>
              </a:ext>
            </a:extLst>
          </xdr:cNvPr>
          <xdr:cNvSpPr>
            <a:spLocks/>
          </xdr:cNvSpPr>
        </xdr:nvSpPr>
        <xdr:spPr bwMode="auto">
          <a:xfrm>
            <a:off x="887" y="138"/>
            <a:ext cx="7" cy="32"/>
          </a:xfrm>
          <a:custGeom>
            <a:avLst/>
            <a:gdLst>
              <a:gd name="T0" fmla="*/ 0 w 365"/>
              <a:gd name="T1" fmla="*/ 0 h 1590"/>
              <a:gd name="T2" fmla="*/ 0 w 365"/>
              <a:gd name="T3" fmla="*/ 0 h 1590"/>
              <a:gd name="T4" fmla="*/ 0 w 365"/>
              <a:gd name="T5" fmla="*/ 0 h 1590"/>
              <a:gd name="T6" fmla="*/ 0 w 365"/>
              <a:gd name="T7" fmla="*/ 0 h 1590"/>
              <a:gd name="T8" fmla="*/ 0 60000 65536"/>
              <a:gd name="T9" fmla="*/ 0 60000 65536"/>
              <a:gd name="T10" fmla="*/ 0 60000 65536"/>
              <a:gd name="T11" fmla="*/ 0 60000 65536"/>
              <a:gd name="T12" fmla="*/ 0 w 365"/>
              <a:gd name="T13" fmla="*/ 0 h 1590"/>
              <a:gd name="T14" fmla="*/ 365 w 365"/>
              <a:gd name="T15" fmla="*/ 1590 h 1590"/>
            </a:gdLst>
            <a:ahLst/>
            <a:cxnLst>
              <a:cxn ang="T8">
                <a:pos x="T0" y="T1"/>
              </a:cxn>
              <a:cxn ang="T9">
                <a:pos x="T2" y="T3"/>
              </a:cxn>
              <a:cxn ang="T10">
                <a:pos x="T4" y="T5"/>
              </a:cxn>
              <a:cxn ang="T11">
                <a:pos x="T6" y="T7"/>
              </a:cxn>
            </a:cxnLst>
            <a:rect l="T12" t="T13" r="T14" b="T15"/>
            <a:pathLst>
              <a:path w="365" h="1590">
                <a:moveTo>
                  <a:pt x="0" y="0"/>
                </a:moveTo>
                <a:lnTo>
                  <a:pt x="0" y="1039"/>
                </a:lnTo>
                <a:lnTo>
                  <a:pt x="365" y="1590"/>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Line 34">
            <a:extLst>
              <a:ext uri="{FF2B5EF4-FFF2-40B4-BE49-F238E27FC236}">
                <a16:creationId xmlns:a16="http://schemas.microsoft.com/office/drawing/2014/main" id="{00000000-0008-0000-0200-000055000000}"/>
              </a:ext>
            </a:extLst>
          </xdr:cNvPr>
          <xdr:cNvSpPr>
            <a:spLocks noChangeShapeType="1"/>
          </xdr:cNvSpPr>
        </xdr:nvSpPr>
        <xdr:spPr bwMode="auto">
          <a:xfrm flipH="1" flipV="1">
            <a:off x="887" y="138"/>
            <a:ext cx="7" cy="3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Line 35">
            <a:extLst>
              <a:ext uri="{FF2B5EF4-FFF2-40B4-BE49-F238E27FC236}">
                <a16:creationId xmlns:a16="http://schemas.microsoft.com/office/drawing/2014/main" id="{00000000-0008-0000-0200-000056000000}"/>
              </a:ext>
            </a:extLst>
          </xdr:cNvPr>
          <xdr:cNvSpPr>
            <a:spLocks noChangeShapeType="1"/>
          </xdr:cNvSpPr>
        </xdr:nvSpPr>
        <xdr:spPr bwMode="auto">
          <a:xfrm flipH="1">
            <a:off x="879" y="138"/>
            <a:ext cx="8" cy="3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Line 36">
            <a:extLst>
              <a:ext uri="{FF2B5EF4-FFF2-40B4-BE49-F238E27FC236}">
                <a16:creationId xmlns:a16="http://schemas.microsoft.com/office/drawing/2014/main" id="{00000000-0008-0000-0200-000057000000}"/>
              </a:ext>
            </a:extLst>
          </xdr:cNvPr>
          <xdr:cNvSpPr>
            <a:spLocks noChangeShapeType="1"/>
          </xdr:cNvSpPr>
        </xdr:nvSpPr>
        <xdr:spPr bwMode="auto">
          <a:xfrm flipH="1">
            <a:off x="847" y="170"/>
            <a:ext cx="32" cy="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 name="Line 37">
            <a:extLst>
              <a:ext uri="{FF2B5EF4-FFF2-40B4-BE49-F238E27FC236}">
                <a16:creationId xmlns:a16="http://schemas.microsoft.com/office/drawing/2014/main" id="{00000000-0008-0000-0200-000058000000}"/>
              </a:ext>
            </a:extLst>
          </xdr:cNvPr>
          <xdr:cNvSpPr>
            <a:spLocks noChangeShapeType="1"/>
          </xdr:cNvSpPr>
        </xdr:nvSpPr>
        <xdr:spPr bwMode="auto">
          <a:xfrm>
            <a:off x="847" y="178"/>
            <a:ext cx="32" cy="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Line 38">
            <a:extLst>
              <a:ext uri="{FF2B5EF4-FFF2-40B4-BE49-F238E27FC236}">
                <a16:creationId xmlns:a16="http://schemas.microsoft.com/office/drawing/2014/main" id="{00000000-0008-0000-0200-000059000000}"/>
              </a:ext>
            </a:extLst>
          </xdr:cNvPr>
          <xdr:cNvSpPr>
            <a:spLocks noChangeShapeType="1"/>
          </xdr:cNvSpPr>
        </xdr:nvSpPr>
        <xdr:spPr bwMode="auto">
          <a:xfrm>
            <a:off x="879" y="185"/>
            <a:ext cx="8" cy="3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0" name="Line 39">
            <a:extLst>
              <a:ext uri="{FF2B5EF4-FFF2-40B4-BE49-F238E27FC236}">
                <a16:creationId xmlns:a16="http://schemas.microsoft.com/office/drawing/2014/main" id="{00000000-0008-0000-0200-00005A000000}"/>
              </a:ext>
            </a:extLst>
          </xdr:cNvPr>
          <xdr:cNvSpPr>
            <a:spLocks noChangeShapeType="1"/>
          </xdr:cNvSpPr>
        </xdr:nvSpPr>
        <xdr:spPr bwMode="auto">
          <a:xfrm flipV="1">
            <a:off x="887" y="185"/>
            <a:ext cx="7" cy="3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Line 40">
            <a:extLst>
              <a:ext uri="{FF2B5EF4-FFF2-40B4-BE49-F238E27FC236}">
                <a16:creationId xmlns:a16="http://schemas.microsoft.com/office/drawing/2014/main" id="{00000000-0008-0000-0200-00005B000000}"/>
              </a:ext>
            </a:extLst>
          </xdr:cNvPr>
          <xdr:cNvSpPr>
            <a:spLocks noChangeShapeType="1"/>
          </xdr:cNvSpPr>
        </xdr:nvSpPr>
        <xdr:spPr bwMode="auto">
          <a:xfrm flipV="1">
            <a:off x="894" y="178"/>
            <a:ext cx="33" cy="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2" name="Line 41">
            <a:extLst>
              <a:ext uri="{FF2B5EF4-FFF2-40B4-BE49-F238E27FC236}">
                <a16:creationId xmlns:a16="http://schemas.microsoft.com/office/drawing/2014/main" id="{00000000-0008-0000-0200-00005C000000}"/>
              </a:ext>
            </a:extLst>
          </xdr:cNvPr>
          <xdr:cNvSpPr>
            <a:spLocks noChangeShapeType="1"/>
          </xdr:cNvSpPr>
        </xdr:nvSpPr>
        <xdr:spPr bwMode="auto">
          <a:xfrm flipH="1" flipV="1">
            <a:off x="894" y="170"/>
            <a:ext cx="33" cy="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3" name="Line 42">
            <a:extLst>
              <a:ext uri="{FF2B5EF4-FFF2-40B4-BE49-F238E27FC236}">
                <a16:creationId xmlns:a16="http://schemas.microsoft.com/office/drawing/2014/main" id="{00000000-0008-0000-0200-00005D000000}"/>
              </a:ext>
            </a:extLst>
          </xdr:cNvPr>
          <xdr:cNvSpPr>
            <a:spLocks noChangeShapeType="1"/>
          </xdr:cNvSpPr>
        </xdr:nvSpPr>
        <xdr:spPr bwMode="auto">
          <a:xfrm flipH="1" flipV="1">
            <a:off x="887" y="159"/>
            <a:ext cx="3"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4" name="Line 43">
            <a:extLst>
              <a:ext uri="{FF2B5EF4-FFF2-40B4-BE49-F238E27FC236}">
                <a16:creationId xmlns:a16="http://schemas.microsoft.com/office/drawing/2014/main" id="{00000000-0008-0000-0200-00005E000000}"/>
              </a:ext>
            </a:extLst>
          </xdr:cNvPr>
          <xdr:cNvSpPr>
            <a:spLocks noChangeShapeType="1"/>
          </xdr:cNvSpPr>
        </xdr:nvSpPr>
        <xdr:spPr bwMode="auto">
          <a:xfrm flipH="1">
            <a:off x="883" y="159"/>
            <a:ext cx="4"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Line 44">
            <a:extLst>
              <a:ext uri="{FF2B5EF4-FFF2-40B4-BE49-F238E27FC236}">
                <a16:creationId xmlns:a16="http://schemas.microsoft.com/office/drawing/2014/main" id="{00000000-0008-0000-0200-00005F000000}"/>
              </a:ext>
            </a:extLst>
          </xdr:cNvPr>
          <xdr:cNvSpPr>
            <a:spLocks noChangeShapeType="1"/>
          </xdr:cNvSpPr>
        </xdr:nvSpPr>
        <xdr:spPr bwMode="auto">
          <a:xfrm flipH="1">
            <a:off x="868" y="174"/>
            <a:ext cx="15" cy="4"/>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6" name="Line 45">
            <a:extLst>
              <a:ext uri="{FF2B5EF4-FFF2-40B4-BE49-F238E27FC236}">
                <a16:creationId xmlns:a16="http://schemas.microsoft.com/office/drawing/2014/main" id="{00000000-0008-0000-0200-000060000000}"/>
              </a:ext>
            </a:extLst>
          </xdr:cNvPr>
          <xdr:cNvSpPr>
            <a:spLocks noChangeShapeType="1"/>
          </xdr:cNvSpPr>
        </xdr:nvSpPr>
        <xdr:spPr bwMode="auto">
          <a:xfrm>
            <a:off x="868" y="178"/>
            <a:ext cx="15" cy="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7" name="Line 46">
            <a:extLst>
              <a:ext uri="{FF2B5EF4-FFF2-40B4-BE49-F238E27FC236}">
                <a16:creationId xmlns:a16="http://schemas.microsoft.com/office/drawing/2014/main" id="{00000000-0008-0000-0200-000061000000}"/>
              </a:ext>
            </a:extLst>
          </xdr:cNvPr>
          <xdr:cNvSpPr>
            <a:spLocks noChangeShapeType="1"/>
          </xdr:cNvSpPr>
        </xdr:nvSpPr>
        <xdr:spPr bwMode="auto">
          <a:xfrm>
            <a:off x="883" y="181"/>
            <a:ext cx="4"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8" name="Line 47">
            <a:extLst>
              <a:ext uri="{FF2B5EF4-FFF2-40B4-BE49-F238E27FC236}">
                <a16:creationId xmlns:a16="http://schemas.microsoft.com/office/drawing/2014/main" id="{00000000-0008-0000-0200-000062000000}"/>
              </a:ext>
            </a:extLst>
          </xdr:cNvPr>
          <xdr:cNvSpPr>
            <a:spLocks noChangeShapeType="1"/>
          </xdr:cNvSpPr>
        </xdr:nvSpPr>
        <xdr:spPr bwMode="auto">
          <a:xfrm flipV="1">
            <a:off x="887" y="181"/>
            <a:ext cx="3" cy="1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9" name="Line 48">
            <a:extLst>
              <a:ext uri="{FF2B5EF4-FFF2-40B4-BE49-F238E27FC236}">
                <a16:creationId xmlns:a16="http://schemas.microsoft.com/office/drawing/2014/main" id="{00000000-0008-0000-0200-000063000000}"/>
              </a:ext>
            </a:extLst>
          </xdr:cNvPr>
          <xdr:cNvSpPr>
            <a:spLocks noChangeShapeType="1"/>
          </xdr:cNvSpPr>
        </xdr:nvSpPr>
        <xdr:spPr bwMode="auto">
          <a:xfrm flipV="1">
            <a:off x="890" y="178"/>
            <a:ext cx="16" cy="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0" name="Line 49">
            <a:extLst>
              <a:ext uri="{FF2B5EF4-FFF2-40B4-BE49-F238E27FC236}">
                <a16:creationId xmlns:a16="http://schemas.microsoft.com/office/drawing/2014/main" id="{00000000-0008-0000-0200-000064000000}"/>
              </a:ext>
            </a:extLst>
          </xdr:cNvPr>
          <xdr:cNvSpPr>
            <a:spLocks noChangeShapeType="1"/>
          </xdr:cNvSpPr>
        </xdr:nvSpPr>
        <xdr:spPr bwMode="auto">
          <a:xfrm flipH="1" flipV="1">
            <a:off x="890" y="174"/>
            <a:ext cx="16" cy="4"/>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1" name="Oval 100">
            <a:extLst>
              <a:ext uri="{FF2B5EF4-FFF2-40B4-BE49-F238E27FC236}">
                <a16:creationId xmlns:a16="http://schemas.microsoft.com/office/drawing/2014/main" id="{00000000-0008-0000-0200-000065000000}"/>
              </a:ext>
            </a:extLst>
          </xdr:cNvPr>
          <xdr:cNvSpPr>
            <a:spLocks noChangeArrowheads="1"/>
          </xdr:cNvSpPr>
        </xdr:nvSpPr>
        <xdr:spPr bwMode="auto">
          <a:xfrm>
            <a:off x="846" y="138"/>
            <a:ext cx="81" cy="81"/>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Du%20lieu%20cong%20viec/2.%20Thiet%20ke/DTXD/2020/8.%20Lap%20dat%20thiet%20bi%20dong%20cat/3.%20Du%20toan%20lap%20thiet%20bi%20Thuan%20Bac%20tham%20din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y2\THUAN%20MAY%204\CONG%20VIEC\DANG%20THUC%20HIEN\DAK%20NONG\1.CT%20471%20DAKSONG-PHE%20DUYET\2.DUTOAN-PHE%20DUYET\2.%20DU%20TOAN\DU%20TOAN-KHOI%20LUO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Desktop/Gui%20Khanh/DT%20Ninh%20Hai%202018%20phat%20sinh%20tham%20din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3.NAM\5.NAM%202021\2.DTXD%20&amp;SCL\1,DTXD\8.DTXD%202025\1.DTXD%202025\Tuyen%20GD\Ho%20so%20TVTK%20472NS%20ngay%2005042024\10-4-2024%20NS%202024_Du%20toan%20tham%20din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PL2_Chi%20ph&#237;%20kiem%20dinhh%20TT05-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TH QLDA-CPK tong"/>
      <sheetName val="BTH QLDA-CPK cu"/>
      <sheetName val="bia"/>
      <sheetName val="BTH QLDA-CPK"/>
      <sheetName val="TH -DDTT"/>
      <sheetName val="Thop-TA VL"/>
      <sheetName val="Thop-TA TB"/>
      <sheetName val="thopTT"/>
      <sheetName val="chi tiet TA KL HT"/>
      <sheetName val="chi tiet TA"/>
      <sheetName val="vc TT"/>
      <sheetName val="TH -TBA"/>
      <sheetName val="Thop-TBA (VL)"/>
      <sheetName val="Thop-TBA (thiet bi)"/>
      <sheetName val="Tram 50kVA"/>
      <sheetName val="vc TBA"/>
      <sheetName val="TH -DDHT"/>
      <sheetName val="Thop-HT"/>
      <sheetName val="thop HT"/>
      <sheetName val="chi tiet ha the"/>
      <sheetName val="TKHT (xd moi)"/>
      <sheetName val="vc HT "/>
      <sheetName val="ThopTNHC"/>
      <sheetName val="hc-HT"/>
      <sheetName val="Chi tiet ca may"/>
      <sheetName val="VC"/>
      <sheetName val="BANG E"/>
      <sheetName val="LUONG KS"/>
      <sheetName val="Bang gia VTTB"/>
      <sheetName val="0000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2">
          <cell r="D22">
            <v>6000</v>
          </cell>
        </row>
        <row r="27">
          <cell r="D27">
            <v>14100</v>
          </cell>
        </row>
        <row r="28">
          <cell r="D28">
            <v>16000</v>
          </cell>
        </row>
        <row r="39">
          <cell r="D39">
            <v>26200</v>
          </cell>
        </row>
        <row r="40">
          <cell r="D40">
            <v>28000</v>
          </cell>
        </row>
        <row r="43">
          <cell r="D43">
            <v>33000</v>
          </cell>
        </row>
        <row r="46">
          <cell r="D46">
            <v>65000</v>
          </cell>
        </row>
        <row r="52">
          <cell r="D52">
            <v>2000</v>
          </cell>
        </row>
        <row r="54">
          <cell r="D54">
            <v>6000</v>
          </cell>
        </row>
      </sheetData>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Hop"/>
      <sheetName val="TH-TB-XD"/>
      <sheetName val="TH"/>
      <sheetName val="V-N-M"/>
      <sheetName val="VCDD"/>
      <sheetName val="BOC DO"/>
      <sheetName val="TH Thi Nghiem "/>
      <sheetName val="CT thi nghiem"/>
      <sheetName val="GPMB"/>
      <sheetName val="chitiet4970dz"/>
      <sheetName val="CPTV"/>
      <sheetName val="DLNS"/>
      <sheetName val="CC Moi truong"/>
      <sheetName val="CPKS"/>
      <sheetName val="dia hinh"/>
      <sheetName val="CP chuyen quan"/>
      <sheetName val="NC_KS"/>
      <sheetName val="GCM KHAO SAT"/>
      <sheetName val="VN2000"/>
      <sheetName val="DG THIET BI"/>
      <sheetName val="DG 11"/>
      <sheetName val="SL dau tien "/>
      <sheetName val="THCTO"/>
      <sheetName val="chitiet4970tba"/>
      <sheetName val="chitiet4970congto"/>
      <sheetName val="DM LUONGND15"/>
      <sheetName val="DMTN"/>
      <sheetName val="DM_4970"/>
      <sheetName val="DM228 "/>
      <sheetName val="chitiet228"/>
      <sheetName val="PHAT QUANG 2"/>
      <sheetName val="PHAT QUANG 1"/>
      <sheetName val="chitiet1776"/>
      <sheetName val="DM1776"/>
      <sheetName val="Sheet1"/>
      <sheetName val="luong"/>
      <sheetName val="GCM_DN"/>
      <sheetName val="KL datdao"/>
      <sheetName val="VATTU"/>
      <sheetName val="DG vat lieu"/>
      <sheetName val="VT-TH"/>
      <sheetName val="QUY MÔ"/>
      <sheetName val="TK THIET BI"/>
      <sheetName val="TK-22"/>
      <sheetName val="LK-22"/>
      <sheetName val="LK-22TH"/>
      <sheetName val="DG 06 VNPT"/>
      <sheetName val="DGDD"/>
      <sheetName val="DG SUA CHUA"/>
      <sheetName val="DGXD"/>
      <sheetName val="CVC"/>
      <sheetName val="CVC-ST"/>
      <sheetName val="TT"/>
    </sheetNames>
    <sheetDataSet>
      <sheetData sheetId="0">
        <row r="2">
          <cell r="A2" t="str">
            <v>CÔNG TRÌNH: CẢI TẠO XUẤT TUYẾN 471 TBA 110KV ĐĂK SONG ĐỂ CẤP ĐIỆN CHO TỈNH MONDULKIRI CỦA VƯƠNG QUỐC CAMPUCHIA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P1">
            <v>26200</v>
          </cell>
        </row>
      </sheetData>
      <sheetData sheetId="10" refreshError="1"/>
      <sheetData sheetId="11">
        <row r="4">
          <cell r="B4">
            <v>5000000000000</v>
          </cell>
        </row>
      </sheetData>
      <sheetData sheetId="12" refreshError="1"/>
      <sheetData sheetId="13"/>
      <sheetData sheetId="14"/>
      <sheetData sheetId="15" refreshError="1"/>
      <sheetData sheetId="16" refreshError="1"/>
      <sheetData sheetId="17">
        <row r="10">
          <cell r="D10">
            <v>199681</v>
          </cell>
        </row>
      </sheetData>
      <sheetData sheetId="18">
        <row r="8">
          <cell r="C8">
            <v>172</v>
          </cell>
        </row>
      </sheetData>
      <sheetData sheetId="19">
        <row r="1">
          <cell r="B1" t="str">
            <v>Ký hiệu</v>
          </cell>
        </row>
      </sheetData>
      <sheetData sheetId="20">
        <row r="3">
          <cell r="A3" t="str">
            <v>Loại đường</v>
          </cell>
        </row>
      </sheetData>
      <sheetData sheetId="21" refreshError="1"/>
      <sheetData sheetId="22" refreshError="1"/>
      <sheetData sheetId="23" refreshError="1"/>
      <sheetData sheetId="24" refreshError="1"/>
      <sheetData sheetId="25" refreshError="1"/>
      <sheetData sheetId="26">
        <row r="1">
          <cell r="A1" t="str">
            <v>PHỤ LỤC 3: ĐIỀU CHỈNH NHÂN CÔNG THÍ NGHIỆM THEO THÔNG TƯ 05/2015/TT-BXD</v>
          </cell>
        </row>
      </sheetData>
      <sheetData sheetId="27" refreshError="1"/>
      <sheetData sheetId="28" refreshError="1"/>
      <sheetData sheetId="29" refreshError="1"/>
      <sheetData sheetId="30" refreshError="1"/>
      <sheetData sheetId="31" refreshError="1"/>
      <sheetData sheetId="32" refreshError="1"/>
      <sheetData sheetId="33">
        <row r="3">
          <cell r="B3">
            <v>1</v>
          </cell>
        </row>
      </sheetData>
      <sheetData sheetId="34" refreshError="1"/>
      <sheetData sheetId="35">
        <row r="5">
          <cell r="C5" t="str">
            <v>Tên nhân công</v>
          </cell>
        </row>
      </sheetData>
      <sheetData sheetId="36" refreshError="1"/>
      <sheetData sheetId="37">
        <row r="7">
          <cell r="C7" t="str">
            <v xml:space="preserve"> a là chiều rộng hố móng , b là chiều dài hố móng</v>
          </cell>
        </row>
      </sheetData>
      <sheetData sheetId="38">
        <row r="8">
          <cell r="E8">
            <v>1763.636</v>
          </cell>
        </row>
      </sheetData>
      <sheetData sheetId="39">
        <row r="1">
          <cell r="B1" t="str">
            <v>CÔNG TRÌNH: CẢI TẠO XUẤT TUYẾN 471 TBA 110KV ĐĂK SONG ĐỂ CẤP ĐIỆN CHO TỈNH MONDULKIRI CỦA VƯƠNG QUỐC CAMPUCHIA</v>
          </cell>
        </row>
        <row r="2">
          <cell r="B2" t="str">
            <v>BẢNG ĐƠN GIÁ VẬT TƯ THIẾT BỊ SỬ DỤNG CHO CÔNG TRÌNH</v>
          </cell>
        </row>
        <row r="4">
          <cell r="B4" t="str">
            <v>Mã hiệu</v>
          </cell>
          <cell r="C4" t="str">
            <v>Hạng mục</v>
          </cell>
          <cell r="D4" t="str">
            <v>Đơn vị</v>
          </cell>
          <cell r="E4" t="str">
            <v>S. L</v>
          </cell>
          <cell r="F4" t="str">
            <v>K. L</v>
          </cell>
          <cell r="G4" t="str">
            <v>Đơn giá</v>
          </cell>
        </row>
        <row r="5">
          <cell r="F5" t="str">
            <v>(Tấn)</v>
          </cell>
        </row>
        <row r="6">
          <cell r="B6" t="str">
            <v>DS-1P</v>
          </cell>
          <cell r="C6" t="str">
            <v>Dao cách ly đơn pha</v>
          </cell>
          <cell r="D6" t="str">
            <v>Bộ</v>
          </cell>
          <cell r="E6">
            <v>3</v>
          </cell>
          <cell r="G6">
            <v>5447333.333333333</v>
          </cell>
        </row>
        <row r="7">
          <cell r="B7" t="str">
            <v>CSV-22kV</v>
          </cell>
          <cell r="C7" t="str">
            <v>Chống sét van lưới 22kV: CSV-22kV</v>
          </cell>
          <cell r="D7" t="str">
            <v>Cái</v>
          </cell>
          <cell r="E7">
            <v>6</v>
          </cell>
          <cell r="G7">
            <v>1190000</v>
          </cell>
        </row>
        <row r="8">
          <cell r="B8" t="str">
            <v>CSV (SDL)</v>
          </cell>
          <cell r="C8" t="str">
            <v>Chống sét van lưới 22kV: CSV (SDL)</v>
          </cell>
          <cell r="D8" t="str">
            <v>Cái</v>
          </cell>
          <cell r="E8">
            <v>9</v>
          </cell>
        </row>
        <row r="9">
          <cell r="B9" t="str">
            <v>LBS-24kV</v>
          </cell>
          <cell r="C9" t="str">
            <v>Dao cắt có tải 3 pha: LBS-24kV</v>
          </cell>
          <cell r="D9" t="str">
            <v>Máy</v>
          </cell>
          <cell r="E9">
            <v>1</v>
          </cell>
          <cell r="G9">
            <v>154000000</v>
          </cell>
        </row>
        <row r="10">
          <cell r="B10" t="str">
            <v>REC-24kV (SDL)</v>
          </cell>
          <cell r="C10" t="str">
            <v>Máy cắt đường dây: REC-24kV (SDL)</v>
          </cell>
          <cell r="D10" t="str">
            <v>Máy</v>
          </cell>
          <cell r="E10">
            <v>1</v>
          </cell>
        </row>
        <row r="11">
          <cell r="B11" t="str">
            <v>FCO-22kV</v>
          </cell>
          <cell r="C11" t="str">
            <v>Cầu chì tự rơi 24kV</v>
          </cell>
          <cell r="D11" t="str">
            <v>Cái</v>
          </cell>
          <cell r="E11">
            <v>2</v>
          </cell>
          <cell r="G11">
            <v>1472000</v>
          </cell>
        </row>
        <row r="12">
          <cell r="B12" t="str">
            <v>LBFCO-22kV</v>
          </cell>
          <cell r="C12" t="str">
            <v>Cầu chì tự rơi cắt có tải: LBFCO-22kV</v>
          </cell>
          <cell r="D12" t="str">
            <v>Cái</v>
          </cell>
          <cell r="E12">
            <v>3</v>
          </cell>
          <cell r="G12">
            <v>2061000</v>
          </cell>
        </row>
        <row r="13">
          <cell r="B13" t="str">
            <v>NC-FCO</v>
          </cell>
          <cell r="C13" t="str">
            <v>Nắp chụp cầu chì tự rơi 24k</v>
          </cell>
          <cell r="D13" t="str">
            <v>Cái</v>
          </cell>
          <cell r="E13">
            <v>2</v>
          </cell>
          <cell r="G13">
            <v>64400</v>
          </cell>
        </row>
        <row r="14">
          <cell r="B14" t="str">
            <v>NC-LBFCO-22kV</v>
          </cell>
          <cell r="C14" t="str">
            <v>Nắp chụp cách điện cầu chì tự rơi: NC-LBFCO-22kV</v>
          </cell>
          <cell r="D14" t="str">
            <v>Cái</v>
          </cell>
          <cell r="E14">
            <v>3</v>
          </cell>
          <cell r="G14">
            <v>64400</v>
          </cell>
        </row>
        <row r="15">
          <cell r="B15" t="str">
            <v>AC-XLPE-BP-150/19-12,7/24kV</v>
          </cell>
          <cell r="C15" t="str">
            <v>Dây nhôm bọc có lõi thép AC-XLPE-BP-150/19-12,7/24kV</v>
          </cell>
          <cell r="D15" t="str">
            <v>Mét</v>
          </cell>
          <cell r="E15">
            <v>26782.049999999996</v>
          </cell>
          <cell r="G15">
            <v>61870</v>
          </cell>
        </row>
        <row r="16">
          <cell r="B16" t="str">
            <v>AC-XLPE-BP-95/16-12,7/24kV</v>
          </cell>
          <cell r="C16" t="str">
            <v>Dây nhôm bọc có lõi thép AC-XLPE-BP-95/16-12,7/24kV</v>
          </cell>
          <cell r="D16" t="str">
            <v>Mét</v>
          </cell>
          <cell r="E16">
            <v>0</v>
          </cell>
          <cell r="G16">
            <v>42800</v>
          </cell>
        </row>
        <row r="17">
          <cell r="B17" t="str">
            <v>ACSR/150/24</v>
          </cell>
          <cell r="C17" t="str">
            <v>Dây nhôm lõi thép ACSR/150/24</v>
          </cell>
          <cell r="D17" t="str">
            <v>Mét</v>
          </cell>
          <cell r="E17">
            <v>2797.3500000000004</v>
          </cell>
          <cell r="G17">
            <v>40450</v>
          </cell>
        </row>
        <row r="18">
          <cell r="B18" t="str">
            <v>TK-50</v>
          </cell>
          <cell r="C18" t="str">
            <v>Dây thép TK-50</v>
          </cell>
          <cell r="D18" t="str">
            <v>Mét</v>
          </cell>
          <cell r="E18">
            <v>4631.0000000000009</v>
          </cell>
          <cell r="G18">
            <v>15710</v>
          </cell>
        </row>
        <row r="19">
          <cell r="B19" t="str">
            <v>TK-70</v>
          </cell>
          <cell r="C19" t="str">
            <v>Dây thép TK-70</v>
          </cell>
          <cell r="D19" t="str">
            <v>Mét</v>
          </cell>
          <cell r="E19">
            <v>0</v>
          </cell>
          <cell r="G19">
            <v>21430</v>
          </cell>
        </row>
        <row r="20">
          <cell r="B20" t="str">
            <v>KĐ-DCS</v>
          </cell>
          <cell r="C20" t="str">
            <v>Khóa đỡ dây chống sét: KĐ-DCS</v>
          </cell>
          <cell r="D20" t="str">
            <v>Cái</v>
          </cell>
          <cell r="E20">
            <v>41</v>
          </cell>
          <cell r="G20">
            <v>88000</v>
          </cell>
        </row>
        <row r="21">
          <cell r="B21" t="str">
            <v>KN-DCS</v>
          </cell>
          <cell r="C21" t="str">
            <v>Khóa néo dây chống sét: KN-DCS</v>
          </cell>
          <cell r="D21" t="str">
            <v>Cái</v>
          </cell>
          <cell r="E21">
            <v>68</v>
          </cell>
          <cell r="G21">
            <v>87200</v>
          </cell>
        </row>
        <row r="22">
          <cell r="B22" t="str">
            <v>KNEDB-150</v>
          </cell>
          <cell r="C22" t="str">
            <v>Khóa néo ép dây cho dây bọc XLPE-150: KNDB-150</v>
          </cell>
          <cell r="D22" t="str">
            <v>Bộ</v>
          </cell>
          <cell r="E22">
            <v>9</v>
          </cell>
          <cell r="G22">
            <v>1965600</v>
          </cell>
        </row>
        <row r="23">
          <cell r="B23" t="str">
            <v>KRTT-150/35</v>
          </cell>
          <cell r="C23" t="str">
            <v>Kẹp răng trung thế: KRTT-150/35</v>
          </cell>
          <cell r="D23" t="str">
            <v>cái</v>
          </cell>
          <cell r="E23">
            <v>26</v>
          </cell>
          <cell r="G23">
            <v>1404920</v>
          </cell>
        </row>
        <row r="24">
          <cell r="B24" t="str">
            <v>ĐCM-2.35</v>
          </cell>
          <cell r="C24" t="str">
            <v>Đầu cốt đồng loại 2 lỗ: ĐCM-2.35</v>
          </cell>
          <cell r="E24">
            <v>0</v>
          </cell>
          <cell r="G24">
            <v>21000</v>
          </cell>
        </row>
        <row r="25">
          <cell r="B25" t="str">
            <v>KNDT-150</v>
          </cell>
          <cell r="C25" t="str">
            <v>Khóa néo dây cho dây trần: KNDT-150</v>
          </cell>
          <cell r="D25" t="str">
            <v>Bộ</v>
          </cell>
          <cell r="E25">
            <v>24</v>
          </cell>
          <cell r="G25">
            <v>96900</v>
          </cell>
        </row>
        <row r="26">
          <cell r="B26" t="str">
            <v>KNDT-95</v>
          </cell>
          <cell r="C26" t="str">
            <v>Khóa néo dây cho dây trần: KNDT-95</v>
          </cell>
          <cell r="D26" t="str">
            <v>Bộ</v>
          </cell>
          <cell r="E26">
            <v>24</v>
          </cell>
          <cell r="G26">
            <v>87200</v>
          </cell>
        </row>
        <row r="27">
          <cell r="B27" t="str">
            <v>GNDB-150</v>
          </cell>
          <cell r="C27" t="str">
            <v>Giáp níu để néo dây nhôm bọc 22kV tiết diện 150mm2: GNDB-150</v>
          </cell>
          <cell r="D27" t="str">
            <v>Cái</v>
          </cell>
          <cell r="E27">
            <v>375</v>
          </cell>
          <cell r="G27">
            <v>266000</v>
          </cell>
        </row>
        <row r="28">
          <cell r="B28" t="str">
            <v>ĐCAM-1.95</v>
          </cell>
          <cell r="C28" t="str">
            <v>Đầu cốt đồng nhôm 1 lỗ cho dây nhôm: ĐCAM-1.95</v>
          </cell>
          <cell r="D28" t="str">
            <v>Cái</v>
          </cell>
          <cell r="E28">
            <v>6</v>
          </cell>
          <cell r="G28">
            <v>25900</v>
          </cell>
        </row>
        <row r="29">
          <cell r="B29" t="str">
            <v>ĐCAM-2.150</v>
          </cell>
          <cell r="C29" t="str">
            <v>Đầu cốt đồng nhôm 2 lỗ cho dây nhôm: ĐCAM-2.150</v>
          </cell>
          <cell r="D29" t="str">
            <v>Cái</v>
          </cell>
          <cell r="E29">
            <v>15</v>
          </cell>
          <cell r="G29">
            <v>73700</v>
          </cell>
        </row>
        <row r="30">
          <cell r="B30" t="str">
            <v>ĐCAM-1.150</v>
          </cell>
          <cell r="C30" t="str">
            <v>Đầu cốt đồng nhôm 1 lỗ cho dây nhôm: ĐCAM-1.150</v>
          </cell>
          <cell r="D30" t="str">
            <v>Cái</v>
          </cell>
          <cell r="E30">
            <v>30</v>
          </cell>
          <cell r="G30">
            <v>39700</v>
          </cell>
        </row>
        <row r="31">
          <cell r="B31" t="str">
            <v>CCA-3.95</v>
          </cell>
          <cell r="C31" t="str">
            <v>Kẹp cáp nhôm 3 lỗ: CCA-3.95</v>
          </cell>
          <cell r="D31" t="str">
            <v>Cái</v>
          </cell>
          <cell r="E31">
            <v>12</v>
          </cell>
          <cell r="G31">
            <v>31900</v>
          </cell>
        </row>
        <row r="32">
          <cell r="B32" t="str">
            <v>CCA-3.150</v>
          </cell>
          <cell r="C32" t="str">
            <v>Kẹp cáp nhôm 3 lỗ: CCA-3.150</v>
          </cell>
          <cell r="D32" t="str">
            <v>Cái</v>
          </cell>
          <cell r="E32">
            <v>42</v>
          </cell>
          <cell r="G32">
            <v>33800</v>
          </cell>
        </row>
        <row r="33">
          <cell r="B33" t="str">
            <v>ĐCAM-2.95</v>
          </cell>
          <cell r="C33" t="str">
            <v>Đầu cốt đồng nhôm 2 lỗ cho dây nhôm: ĐCAM-2.95</v>
          </cell>
          <cell r="D33" t="str">
            <v>Cái</v>
          </cell>
          <cell r="E33">
            <v>0</v>
          </cell>
          <cell r="G33">
            <v>52100</v>
          </cell>
        </row>
        <row r="34">
          <cell r="B34" t="str">
            <v>ĐCA-2.150</v>
          </cell>
          <cell r="C34" t="str">
            <v>Đầu cốt nhôm 2 lỗ ( Dây AC ); ĐCA-2.150</v>
          </cell>
          <cell r="D34" t="str">
            <v>Cái</v>
          </cell>
          <cell r="E34">
            <v>9</v>
          </cell>
          <cell r="F34">
            <v>0.35</v>
          </cell>
          <cell r="G34">
            <v>19400</v>
          </cell>
        </row>
        <row r="35">
          <cell r="B35" t="str">
            <v>ĐCA-2.95</v>
          </cell>
          <cell r="C35" t="str">
            <v>Đầu cốt nhôm 2 lỗ ( Dây AC ); ĐCA-2.95</v>
          </cell>
          <cell r="D35" t="str">
            <v>Cái</v>
          </cell>
          <cell r="E35">
            <v>3</v>
          </cell>
          <cell r="F35">
            <v>0.35</v>
          </cell>
          <cell r="G35">
            <v>12600</v>
          </cell>
        </row>
        <row r="36">
          <cell r="B36" t="str">
            <v>ĐCM-1.35</v>
          </cell>
          <cell r="C36" t="str">
            <v>Đầu cốt đồng cho dây đồng: ĐCM-1.35</v>
          </cell>
          <cell r="D36" t="str">
            <v>Cái</v>
          </cell>
          <cell r="E36">
            <v>20</v>
          </cell>
          <cell r="F36">
            <v>0.35</v>
          </cell>
          <cell r="G36">
            <v>13100</v>
          </cell>
        </row>
        <row r="37">
          <cell r="B37" t="str">
            <v>CĐR-150</v>
          </cell>
          <cell r="C37" t="str">
            <v>Cụm đấu rẽ dây bọc: CĐR-150</v>
          </cell>
          <cell r="D37" t="str">
            <v>Cái</v>
          </cell>
          <cell r="E37">
            <v>22</v>
          </cell>
          <cell r="G37">
            <v>3476330</v>
          </cell>
        </row>
        <row r="38">
          <cell r="B38" t="str">
            <v>KĐR-50</v>
          </cell>
          <cell r="C38" t="str">
            <v>Kẹp rẽ nhánh: KRN-50</v>
          </cell>
          <cell r="D38" t="str">
            <v>Cái</v>
          </cell>
          <cell r="E38">
            <v>13</v>
          </cell>
          <cell r="G38">
            <v>1171940</v>
          </cell>
        </row>
        <row r="39">
          <cell r="B39" t="str">
            <v>KĐR-70</v>
          </cell>
          <cell r="C39" t="str">
            <v>Kẹp rẽ nhánh: KRN-70</v>
          </cell>
          <cell r="D39" t="str">
            <v>Cái</v>
          </cell>
          <cell r="E39">
            <v>6</v>
          </cell>
          <cell r="G39">
            <v>1171940</v>
          </cell>
        </row>
        <row r="40">
          <cell r="B40" t="str">
            <v>KĐR-95</v>
          </cell>
          <cell r="C40" t="str">
            <v>Kẹp rẽ nhánh: KRN-95</v>
          </cell>
          <cell r="D40" t="str">
            <v>Cái</v>
          </cell>
          <cell r="E40">
            <v>3</v>
          </cell>
          <cell r="G40">
            <v>1171940</v>
          </cell>
        </row>
        <row r="41">
          <cell r="B41" t="str">
            <v>KĐR-150</v>
          </cell>
          <cell r="C41" t="str">
            <v>Kẹp rẽ nhánh: KRN-150</v>
          </cell>
          <cell r="D41" t="str">
            <v>Cái</v>
          </cell>
          <cell r="E41">
            <v>0</v>
          </cell>
          <cell r="G41">
            <v>1215500</v>
          </cell>
        </row>
        <row r="42">
          <cell r="B42" t="str">
            <v>Silicon-NL</v>
          </cell>
          <cell r="C42" t="str">
            <v>Ống quấn silicon dùng cho vị trí nối lèo dây bọc tiết diện 150mm2</v>
          </cell>
          <cell r="D42" t="str">
            <v>Ống</v>
          </cell>
          <cell r="E42">
            <v>78</v>
          </cell>
          <cell r="G42">
            <v>153000</v>
          </cell>
        </row>
        <row r="43">
          <cell r="B43" t="str">
            <v>GBĐS-150</v>
          </cell>
          <cell r="C43" t="str">
            <v>Dây buộc đầu sứ dây bọc, loại dây đồng đơn 6mm2</v>
          </cell>
          <cell r="D43" t="str">
            <v>Sợi</v>
          </cell>
          <cell r="E43">
            <v>303</v>
          </cell>
          <cell r="G43">
            <v>88500</v>
          </cell>
        </row>
        <row r="44">
          <cell r="B44" t="str">
            <v>GBCSĐ-150</v>
          </cell>
          <cell r="C44" t="str">
            <v>Dây buộc cổ sứ dây bọc, loại dây đồng đôi 6mm2</v>
          </cell>
          <cell r="E44">
            <v>60</v>
          </cell>
          <cell r="G44">
            <v>87700</v>
          </cell>
        </row>
        <row r="45">
          <cell r="B45" t="str">
            <v>DBCS-HT</v>
          </cell>
          <cell r="C45" t="str">
            <v>Dây nhôm buộc cổ sứ A-3.5mm2 (dài 2,5m)</v>
          </cell>
          <cell r="D45" t="str">
            <v>Sợi</v>
          </cell>
          <cell r="E45">
            <v>51</v>
          </cell>
          <cell r="G45">
            <v>5540</v>
          </cell>
        </row>
        <row r="46">
          <cell r="B46" t="str">
            <v>CN-22P</v>
          </cell>
          <cell r="C46" t="str">
            <v>Sứ chuỗi néo 22kV (loại Polyme 120kN): CN-22P</v>
          </cell>
          <cell r="D46" t="str">
            <v>Chuỗi</v>
          </cell>
          <cell r="E46">
            <v>453</v>
          </cell>
          <cell r="G46">
            <v>240000</v>
          </cell>
        </row>
        <row r="47">
          <cell r="B47" t="str">
            <v>SĐ-22P</v>
          </cell>
          <cell r="C47" t="str">
            <v>Sứ đứng Pin Post 22kV + Ty</v>
          </cell>
          <cell r="D47" t="str">
            <v>Quả</v>
          </cell>
          <cell r="E47">
            <v>295</v>
          </cell>
          <cell r="G47">
            <v>268000</v>
          </cell>
        </row>
        <row r="48">
          <cell r="B48" t="str">
            <v>SĐ-22P(SDL)</v>
          </cell>
          <cell r="C48" t="str">
            <v>Sứ đứng 22kV + Ty(sử dụng lại)</v>
          </cell>
          <cell r="D48" t="str">
            <v>Quả</v>
          </cell>
          <cell r="E48">
            <v>3</v>
          </cell>
        </row>
        <row r="49">
          <cell r="B49" t="str">
            <v>SĐ-0,4</v>
          </cell>
          <cell r="C49" t="str">
            <v>Sứ đỡ 0,4kV</v>
          </cell>
          <cell r="D49" t="str">
            <v>Quả</v>
          </cell>
          <cell r="E49">
            <v>28</v>
          </cell>
          <cell r="G49">
            <v>28000</v>
          </cell>
        </row>
        <row r="50">
          <cell r="B50" t="str">
            <v>TCR-4,4</v>
          </cell>
          <cell r="C50" t="str">
            <v>Tạ chống rung cho dây ACSR150/19: TCR-4,4</v>
          </cell>
          <cell r="D50" t="str">
            <v>Bộ</v>
          </cell>
          <cell r="E50">
            <v>18</v>
          </cell>
          <cell r="G50">
            <v>234000</v>
          </cell>
        </row>
        <row r="51">
          <cell r="B51" t="str">
            <v>BCT</v>
          </cell>
          <cell r="C51" t="str">
            <v>Bảng bảng cấm  trèo</v>
          </cell>
          <cell r="D51" t="str">
            <v>Cái</v>
          </cell>
          <cell r="E51">
            <v>97</v>
          </cell>
          <cell r="F51">
            <v>1.01</v>
          </cell>
          <cell r="G51">
            <v>30000</v>
          </cell>
        </row>
        <row r="52">
          <cell r="B52" t="str">
            <v>OVD-150</v>
          </cell>
          <cell r="C52" t="str">
            <v>Ống vá dây nhôm tiết diện 150mm2: OVD-150</v>
          </cell>
          <cell r="D52" t="str">
            <v>Bộ</v>
          </cell>
          <cell r="E52">
            <v>51</v>
          </cell>
          <cell r="G52">
            <v>33000</v>
          </cell>
        </row>
        <row r="53">
          <cell r="B53" t="str">
            <v>ONDB-150</v>
          </cell>
          <cell r="C53" t="str">
            <v>Ống nối dây bọc: ONDB-150</v>
          </cell>
          <cell r="D53" t="str">
            <v>Cái</v>
          </cell>
          <cell r="E53">
            <v>53</v>
          </cell>
          <cell r="G53">
            <v>1176784</v>
          </cell>
        </row>
        <row r="54">
          <cell r="B54" t="str">
            <v>ONDT-150</v>
          </cell>
          <cell r="C54" t="str">
            <v>Ống nối dây trần: ONDT-150</v>
          </cell>
          <cell r="D54" t="str">
            <v>Cái</v>
          </cell>
          <cell r="E54">
            <v>0</v>
          </cell>
          <cell r="G54">
            <v>96700</v>
          </cell>
        </row>
        <row r="55">
          <cell r="B55" t="str">
            <v>ONTK-50</v>
          </cell>
          <cell r="C55" t="str">
            <v>Ống nối dây chống sét: ONTK-50</v>
          </cell>
          <cell r="D55" t="str">
            <v>Cái</v>
          </cell>
          <cell r="E55">
            <v>9</v>
          </cell>
          <cell r="G55">
            <v>50000</v>
          </cell>
        </row>
        <row r="56">
          <cell r="B56" t="str">
            <v>OKNTT</v>
          </cell>
          <cell r="C56" t="str">
            <v>Ống khò nhiệt trung áp cho dây có tiết diện 150mm2: OKNTT</v>
          </cell>
          <cell r="D56" t="str">
            <v>Ống</v>
          </cell>
          <cell r="E56">
            <v>30</v>
          </cell>
          <cell r="G56">
            <v>20000</v>
          </cell>
        </row>
        <row r="57">
          <cell r="B57" t="str">
            <v>CXV-35T</v>
          </cell>
          <cell r="C57" t="str">
            <v>Dây đồng bọc trung thế CXV-35-12,7/24kV</v>
          </cell>
          <cell r="D57" t="str">
            <v>Mét</v>
          </cell>
          <cell r="E57">
            <v>12</v>
          </cell>
          <cell r="G57">
            <v>81800</v>
          </cell>
        </row>
        <row r="58">
          <cell r="B58" t="str">
            <v>CXV-35</v>
          </cell>
          <cell r="C58" t="str">
            <v>Dây đồng bọc CXV-35-0.6kV</v>
          </cell>
          <cell r="D58" t="str">
            <v>Bộ</v>
          </cell>
          <cell r="E58">
            <v>0</v>
          </cell>
          <cell r="G58">
            <v>73300</v>
          </cell>
        </row>
        <row r="59">
          <cell r="B59" t="str">
            <v>KRTT-150</v>
          </cell>
          <cell r="C59" t="str">
            <v>Kẹp răng trung thế: KR-150</v>
          </cell>
          <cell r="D59" t="str">
            <v>Bộ</v>
          </cell>
          <cell r="E59">
            <v>0</v>
          </cell>
          <cell r="G59">
            <v>1404920</v>
          </cell>
        </row>
        <row r="60">
          <cell r="B60" t="str">
            <v>ĐCMA-2.35</v>
          </cell>
          <cell r="C60" t="str">
            <v>Đầu cốt nhôm đồng 2 lỗ cho dây đồng: ĐCAM-2.35</v>
          </cell>
          <cell r="D60" t="str">
            <v>Bộ</v>
          </cell>
          <cell r="E60">
            <v>0</v>
          </cell>
          <cell r="G60">
            <v>29000</v>
          </cell>
        </row>
        <row r="61">
          <cell r="B61" t="str">
            <v>NC-LBS</v>
          </cell>
          <cell r="C61" t="str">
            <v>Nắp chụp cách điện đầu cực LBS</v>
          </cell>
          <cell r="D61" t="str">
            <v>Bộ</v>
          </cell>
          <cell r="E61">
            <v>6</v>
          </cell>
          <cell r="G61">
            <v>46200</v>
          </cell>
        </row>
        <row r="62">
          <cell r="B62" t="str">
            <v>NC-CSV</v>
          </cell>
          <cell r="C62" t="str">
            <v>Nắp chụp cách điện đầu cực chống sét van</v>
          </cell>
          <cell r="D62" t="str">
            <v>Bộ</v>
          </cell>
          <cell r="E62">
            <v>6</v>
          </cell>
          <cell r="G62">
            <v>23800</v>
          </cell>
        </row>
        <row r="63">
          <cell r="B63" t="str">
            <v>CS-14</v>
          </cell>
          <cell r="C63" t="str">
            <v>Cột sắt: 14M-510 bằng thủ công kết hợp cơ giới</v>
          </cell>
          <cell r="D63" t="str">
            <v>Cột</v>
          </cell>
          <cell r="E63">
            <v>1</v>
          </cell>
        </row>
        <row r="64">
          <cell r="B64" t="str">
            <v>CS-14 (TC)</v>
          </cell>
          <cell r="C64" t="str">
            <v>Cột sắt: 14M-510 mét bằng thủ công</v>
          </cell>
          <cell r="D64" t="str">
            <v>Cột</v>
          </cell>
          <cell r="E64">
            <v>0</v>
          </cell>
        </row>
        <row r="65">
          <cell r="B65" t="str">
            <v>PC.I-12-190-5,4 (TC)</v>
          </cell>
          <cell r="C65" t="str">
            <v>Cột BTLT 12 mét ứng lực trước nhóm I (5,4 kN)
dựng cột thủ công</v>
          </cell>
          <cell r="D65" t="str">
            <v>Cột</v>
          </cell>
          <cell r="E65">
            <v>17</v>
          </cell>
          <cell r="G65">
            <v>5192000</v>
          </cell>
        </row>
        <row r="66">
          <cell r="B66" t="str">
            <v>PC.I-12-190-9,0 (TC)</v>
          </cell>
          <cell r="C66" t="str">
            <v>Cột BTLT 12 mét ứng lực trước nhóm I (9,0 kN)
dựng cột thủ công</v>
          </cell>
          <cell r="D66" t="str">
            <v>Cột</v>
          </cell>
          <cell r="E66">
            <v>1</v>
          </cell>
          <cell r="G66">
            <v>6483999.9999999991</v>
          </cell>
        </row>
        <row r="67">
          <cell r="B67" t="str">
            <v>PC.I-14-190-6.5</v>
          </cell>
          <cell r="C67" t="str">
            <v>Cột BTLT 14 mét ứng lực trước nhóm I (6,5 kN)
dựng cột thủ công kết hợp cẩu</v>
          </cell>
          <cell r="D67" t="str">
            <v>Cột</v>
          </cell>
          <cell r="E67">
            <v>23</v>
          </cell>
          <cell r="G67">
            <v>6551999.9999999991</v>
          </cell>
        </row>
        <row r="68">
          <cell r="B68" t="str">
            <v>PC.I-14-190-6.5 (TC)</v>
          </cell>
          <cell r="C68" t="str">
            <v>Cột BTLT 14 mét ứng lực trước nhóm I (6,5 kN)
dựng cột thủ công</v>
          </cell>
          <cell r="D68" t="str">
            <v>Cột</v>
          </cell>
          <cell r="E68">
            <v>5</v>
          </cell>
          <cell r="G68">
            <v>6551999.9999999991</v>
          </cell>
        </row>
        <row r="69">
          <cell r="B69" t="str">
            <v>PC.I-14-190-11</v>
          </cell>
          <cell r="C69" t="str">
            <v>Cột BTLT 14 mét ứng lực trước nhóm I (11 kN)
dựng cột thủ công kết hợp cẩu</v>
          </cell>
          <cell r="D69" t="str">
            <v>Cột</v>
          </cell>
          <cell r="E69">
            <v>30</v>
          </cell>
          <cell r="G69">
            <v>9533000</v>
          </cell>
        </row>
        <row r="70">
          <cell r="B70" t="str">
            <v>PC.I-14-190-11 (TC)</v>
          </cell>
          <cell r="C70" t="str">
            <v>Cột BTLT 14 mét ứng lực trước nhóm I (11 kN)
dựng cột thủ công</v>
          </cell>
          <cell r="D70" t="str">
            <v>Cột</v>
          </cell>
          <cell r="E70">
            <v>9</v>
          </cell>
          <cell r="G70">
            <v>9533000</v>
          </cell>
        </row>
        <row r="71">
          <cell r="B71" t="str">
            <v>PC.I-16-190-9.2 (TC)</v>
          </cell>
          <cell r="C71" t="str">
            <v>Cột BTLT 16 mét ứng lực trước nhóm I (9,2 kN)
dựng cột thủ công</v>
          </cell>
          <cell r="D71" t="str">
            <v>Cột</v>
          </cell>
          <cell r="E71">
            <v>1</v>
          </cell>
          <cell r="G71">
            <v>18760000</v>
          </cell>
        </row>
        <row r="72">
          <cell r="B72" t="str">
            <v>PC.I-16-190-11</v>
          </cell>
          <cell r="C72" t="str">
            <v>Cột BTLT 16 mét ứng lực trước nhóm I (11 kN)
dựng cột kết hợp cẩu</v>
          </cell>
          <cell r="D72" t="str">
            <v>Cột</v>
          </cell>
          <cell r="E72">
            <v>13</v>
          </cell>
          <cell r="G72">
            <v>19635000</v>
          </cell>
        </row>
        <row r="73">
          <cell r="B73" t="str">
            <v>PC.I-16-190-11 (TC)</v>
          </cell>
          <cell r="C73" t="str">
            <v>Cột BTLT 16 mét ứng lực trước nhóm I (11 kN)
dựng cột thủ công</v>
          </cell>
          <cell r="D73" t="str">
            <v>Cột</v>
          </cell>
          <cell r="E73">
            <v>7</v>
          </cell>
          <cell r="G73">
            <v>19635000</v>
          </cell>
        </row>
        <row r="74">
          <cell r="B74" t="str">
            <v>MT-9</v>
          </cell>
          <cell r="C74" t="str">
            <v>Móc treo chữ U MT-9</v>
          </cell>
          <cell r="D74" t="str">
            <v>Cái</v>
          </cell>
          <cell r="E74">
            <v>0</v>
          </cell>
          <cell r="F74">
            <v>1.5</v>
          </cell>
          <cell r="G74">
            <v>21200</v>
          </cell>
        </row>
        <row r="75">
          <cell r="B75" t="str">
            <v>MT-12</v>
          </cell>
          <cell r="C75" t="str">
            <v>Móc treo chữ U MT-12</v>
          </cell>
          <cell r="D75" t="str">
            <v>Cái</v>
          </cell>
          <cell r="E75">
            <v>0</v>
          </cell>
          <cell r="F75">
            <v>1.5</v>
          </cell>
          <cell r="G75">
            <v>29750</v>
          </cell>
        </row>
        <row r="76">
          <cell r="B76" t="str">
            <v>CSS-2</v>
          </cell>
          <cell r="C76" t="str">
            <v>Kẹp cáp thép CSS-2</v>
          </cell>
          <cell r="D76" t="str">
            <v>Cái</v>
          </cell>
          <cell r="E76">
            <v>0</v>
          </cell>
          <cell r="F76">
            <v>0.5</v>
          </cell>
          <cell r="G76">
            <v>13500</v>
          </cell>
        </row>
        <row r="77">
          <cell r="B77" t="str">
            <v>CSS-3</v>
          </cell>
          <cell r="C77" t="str">
            <v>Kẹp cáp thép CSS-3</v>
          </cell>
          <cell r="D77" t="str">
            <v>Cái</v>
          </cell>
          <cell r="E77">
            <v>0</v>
          </cell>
          <cell r="F77">
            <v>0.5</v>
          </cell>
          <cell r="G77">
            <v>28600</v>
          </cell>
        </row>
        <row r="78">
          <cell r="B78" t="str">
            <v>CSS-4</v>
          </cell>
          <cell r="C78" t="str">
            <v>Kẹp cáp thép CSS-4</v>
          </cell>
          <cell r="D78" t="str">
            <v>Cái</v>
          </cell>
          <cell r="E78">
            <v>0</v>
          </cell>
          <cell r="F78">
            <v>0.5</v>
          </cell>
          <cell r="G78">
            <v>19500</v>
          </cell>
        </row>
        <row r="79">
          <cell r="B79" t="str">
            <v>ĐT+KĐ</v>
          </cell>
          <cell r="C79" t="str">
            <v>Đai thép + khóa đai</v>
          </cell>
          <cell r="D79" t="str">
            <v>Cái</v>
          </cell>
          <cell r="E79">
            <v>0</v>
          </cell>
          <cell r="G79">
            <v>10400</v>
          </cell>
        </row>
        <row r="80">
          <cell r="B80" t="str">
            <v>ĐTB</v>
          </cell>
          <cell r="C80" t="str">
            <v xml:space="preserve">Đai thép buộc + khoá ĐTB </v>
          </cell>
          <cell r="D80" t="str">
            <v>Cái</v>
          </cell>
          <cell r="E80">
            <v>0</v>
          </cell>
          <cell r="F80">
            <v>0.2</v>
          </cell>
          <cell r="G80">
            <v>10400</v>
          </cell>
        </row>
        <row r="81">
          <cell r="B81" t="str">
            <v>KTK95/50</v>
          </cell>
          <cell r="C81" t="str">
            <v>Kẹp dây TK-50</v>
          </cell>
          <cell r="D81" t="str">
            <v>Cái</v>
          </cell>
          <cell r="E81">
            <v>0</v>
          </cell>
          <cell r="G81">
            <v>17000</v>
          </cell>
        </row>
        <row r="82">
          <cell r="B82" t="str">
            <v>OSC-35</v>
          </cell>
          <cell r="C82" t="str">
            <v>Ốc siết cáp: OSC-35</v>
          </cell>
          <cell r="D82" t="str">
            <v>Cái</v>
          </cell>
          <cell r="E82">
            <v>0</v>
          </cell>
          <cell r="G82">
            <v>17000</v>
          </cell>
        </row>
        <row r="83">
          <cell r="B83" t="str">
            <v>ĐCM-35</v>
          </cell>
          <cell r="C83" t="str">
            <v>Đầu cốt đồng 1 lỗ: ĐCM-35</v>
          </cell>
          <cell r="D83" t="str">
            <v>Cái</v>
          </cell>
          <cell r="E83">
            <v>0</v>
          </cell>
          <cell r="G83">
            <v>13100</v>
          </cell>
        </row>
        <row r="84">
          <cell r="B84" t="str">
            <v>OT-27</v>
          </cell>
          <cell r="C84" t="str">
            <v>Ống thép tráng kẽm fi 27/20 dày 2.6 mm</v>
          </cell>
          <cell r="D84" t="str">
            <v>m</v>
          </cell>
          <cell r="E84">
            <v>0</v>
          </cell>
          <cell r="F84">
            <v>1.67</v>
          </cell>
          <cell r="G84">
            <v>102109.0909090909</v>
          </cell>
        </row>
        <row r="85">
          <cell r="B85" t="str">
            <v>KRHT</v>
          </cell>
          <cell r="C85" t="str">
            <v>Kẹp răng đấu nối công tơ</v>
          </cell>
          <cell r="D85" t="str">
            <v>Cái</v>
          </cell>
          <cell r="E85">
            <v>0</v>
          </cell>
          <cell r="G85">
            <v>33100</v>
          </cell>
        </row>
      </sheetData>
      <sheetData sheetId="40" refreshError="1"/>
      <sheetData sheetId="41">
        <row r="10">
          <cell r="C10">
            <v>3916</v>
          </cell>
        </row>
      </sheetData>
      <sheetData sheetId="42" refreshError="1"/>
      <sheetData sheetId="43">
        <row r="1">
          <cell r="A1" t="str">
            <v>CÔNG TRÌNH: CẢI TẠO XUẤT TUYẾN 471 TBA 110KV ĐĂK SONG ĐỂ CẤP ĐIỆN CHO TỈNH MONDULKIRI CỦA VƯƠNG QUỐC CAMPUCHIA</v>
          </cell>
        </row>
      </sheetData>
      <sheetData sheetId="44">
        <row r="8">
          <cell r="G8">
            <v>2747</v>
          </cell>
        </row>
      </sheetData>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A"/>
      <sheetName val="BTH QLDA-CPK tong"/>
      <sheetName val="BTH QLDA-CPK cu"/>
      <sheetName val="BTH QLDA-CPK"/>
      <sheetName val="TH -DDTT"/>
      <sheetName val="Thop-TA VL"/>
      <sheetName val="Thop-TA TB"/>
      <sheetName val="thopTT"/>
      <sheetName val="chi tiet"/>
      <sheetName val="TKeTT (xdm-Vung 4)"/>
      <sheetName val="TKeTT cai tao"/>
      <sheetName val="vc TT"/>
      <sheetName val="TH -TBA"/>
      <sheetName val="Thop-TBA (VL)"/>
      <sheetName val="Thop-TBA (thiet bi)"/>
      <sheetName val="KHONG IN"/>
      <sheetName val="Y TẾ NINH HẢI (250kVA)"/>
      <sheetName val="CANG NINH CHU"/>
      <sheetName val="TRẦN ANH TÔNG H1"/>
      <sheetName val="BÌNH SƠN 6"/>
      <sheetName val="MY PHONG 4"/>
      <sheetName val="KHANH NHON 23"/>
      <sheetName val="HÀ RÒ 2 (di doi)"/>
      <sheetName val="vc TBA"/>
      <sheetName val="TH -DDHT"/>
      <sheetName val="Thop-HT"/>
      <sheetName val="thop HT"/>
      <sheetName val="chi tiet ha the"/>
      <sheetName val="TKHT (xd moi)"/>
      <sheetName val="TKHT (cai tao)"/>
      <sheetName val="vc HT "/>
      <sheetName val="ThopTNHC"/>
      <sheetName val="hc-HT"/>
      <sheetName val="Chi tiet ca may"/>
      <sheetName val="VC"/>
      <sheetName val="BANG E"/>
      <sheetName val="LUONG KS"/>
      <sheetName val="Bang gia VTTB"/>
      <sheetName val="0000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44">
          <cell r="D44">
            <v>35000</v>
          </cell>
        </row>
      </sheetData>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xz"/>
      <sheetName val="TM"/>
      <sheetName val="Nội suy tư vấn (kg in)"/>
      <sheetName val="Camay"/>
      <sheetName val="Giá vật tư XD (kg in)"/>
      <sheetName val="Sheet1"/>
      <sheetName val="Sheet2"/>
      <sheetName val="f"/>
      <sheetName val="TMinh"/>
      <sheetName val="TH VTTB"/>
      <sheetName val="Thoa thuan khung"/>
      <sheetName val="Giá VTTB (kg in)"/>
      <sheetName val="BTH QLDA-CPK"/>
      <sheetName val="LãI vay"/>
      <sheetName val="A.TH -DDTT"/>
      <sheetName val="lay mau"/>
      <sheetName val="A1.Thop-TA VL"/>
      <sheetName val="A2.Thop-TA TB"/>
      <sheetName val="A3.Thop TA"/>
      <sheetName val="A4.2.TA-VTTB (CT)"/>
      <sheetName val="A4.3.TA-VTTB (CS)"/>
      <sheetName val="Chi tiet TUBU"/>
      <sheetName val="Lương+camay Ninh Thuận (kg in)"/>
      <sheetName val="TA-VTTB (XDM)"/>
      <sheetName val="LBS"/>
      <sheetName val="REC472NS-239-B01"/>
      <sheetName val="TKTT-CT"/>
      <sheetName val="TKTT-XDM"/>
      <sheetName val="TKCSET"/>
      <sheetName val="TUBU "/>
      <sheetName val="Sheet3"/>
      <sheetName val="TKTT-MOI"/>
      <sheetName val="TKTT-CT-NC"/>
      <sheetName val="Noi suy NC lap xa"/>
      <sheetName val="do ghi"/>
      <sheetName val="TU BU"/>
      <sheetName val="vc TBA"/>
      <sheetName val="TH -DDHT"/>
      <sheetName val="THop HT (Vat lieu)"/>
      <sheetName val="THop HT"/>
      <sheetName val="Chi tiet ca may"/>
      <sheetName val="TKTT (cai tao)"/>
      <sheetName val="TKeTT (xdm-Vung 4)"/>
      <sheetName val="vc TT (V4)"/>
      <sheetName val="B.TH-TBA"/>
      <sheetName val="B1.Thop-TBA TB"/>
      <sheetName val="B2.Thop-TBA VL"/>
      <sheetName val="B3.Thop-TBA"/>
      <sheetName val="Mương Chớ 2-3x50"/>
      <sheetName val="Châu Rế 3x50"/>
      <sheetName val="Từ Tâm 3x50"/>
      <sheetName val="Tram 50"/>
      <sheetName val="NHA14"/>
      <sheetName val="VANLAM 2-GT"/>
      <sheetName val="LAC TIEN 2-CT"/>
      <sheetName val="VANLAM3-GT"/>
      <sheetName val="NHI HA 4"/>
      <sheetName val="NHI HA 14 CU"/>
      <sheetName val="Chung Mỹ 250"/>
      <sheetName val="Chung Mỹ 160"/>
      <sheetName val="TCS Thai Giao3x50"/>
      <sheetName val="VANLAM4-GT"/>
      <sheetName val="PHUOC TAN 1"/>
      <sheetName val="TUTHIEN-GT"/>
      <sheetName val="B5.VC-TBA"/>
      <sheetName val="NHƠN HỘI 3"/>
      <sheetName val="TU TAM 2"/>
      <sheetName val="Thop-HA TB"/>
      <sheetName val="C.TH-DDHA"/>
      <sheetName val="C1.Thop-HA VL"/>
      <sheetName val="C3.Thop-HA"/>
      <sheetName val="C4.Chi tietHA"/>
      <sheetName val="C5.VC-HA"/>
      <sheetName val="TKHT (xd moi)"/>
      <sheetName val="TKHT(Cai tao-NC)"/>
      <sheetName val="Chi tiet HA"/>
      <sheetName val="Tong ke ha ap"/>
      <sheetName val="HC-V4"/>
      <sheetName val="1.THKĐ"/>
      <sheetName val="2.THCPKĐ"/>
      <sheetName val="3.CTKĐ"/>
      <sheetName val="MTC"/>
      <sheetName val="MTC_CBM"/>
      <sheetName val="DG-TT05"/>
      <sheetName val="PL ĐG"/>
      <sheetName val="DM-TT05"/>
      <sheetName val="PL LUONG"/>
      <sheetName val="KL"/>
      <sheetName val="B3.Thop-Thí nghiệm"/>
      <sheetName val="Bang tong hop Kiem dinh (TT05)"/>
      <sheetName val="LUONG KS"/>
      <sheetName val="BANG E"/>
      <sheetName val="Bang gia VTTB"/>
      <sheetName val="00000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row r="9">
          <cell r="C9" t="str">
            <v>Kiểm định Recloser/LBS</v>
          </cell>
        </row>
        <row r="53">
          <cell r="C53" t="str">
            <v>Kiểm định dao cách ly</v>
          </cell>
        </row>
      </sheetData>
      <sheetData sheetId="90" refreshError="1"/>
      <sheetData sheetId="91" refreshError="1"/>
      <sheetData sheetId="92" refreshError="1"/>
      <sheetData sheetId="9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a"/>
      <sheetName val="1.1_THKĐ"/>
      <sheetName val="1.2_THCPKĐ"/>
      <sheetName val="1.3_Thop-TNKD"/>
      <sheetName val="1.4_CT Kiem dinh (TT02-V3)"/>
      <sheetName val="Van chuyen V3"/>
      <sheetName val="Vat lieu"/>
      <sheetName val="NC 5065"/>
      <sheetName val="Ca may 5065"/>
      <sheetName val="00000000"/>
    </sheetNames>
    <sheetDataSet>
      <sheetData sheetId="0" refreshError="1"/>
      <sheetData sheetId="1" refreshError="1"/>
      <sheetData sheetId="2" refreshError="1"/>
      <sheetData sheetId="3" refreshError="1"/>
      <sheetData sheetId="4" refreshError="1"/>
      <sheetData sheetId="5" refreshError="1"/>
      <sheetData sheetId="6" refreshError="1">
        <row r="5">
          <cell r="A5" t="str">
            <v>VL1</v>
          </cell>
          <cell r="B5" t="str">
            <v>Alcol êtylic</v>
          </cell>
          <cell r="C5" t="str">
            <v>lít</v>
          </cell>
          <cell r="D5">
            <v>23920</v>
          </cell>
          <cell r="E5">
            <v>23920</v>
          </cell>
        </row>
        <row r="6">
          <cell r="A6" t="str">
            <v>VL2</v>
          </cell>
          <cell r="B6" t="str">
            <v>Alkali blue (kiềm xanh)</v>
          </cell>
          <cell r="C6" t="str">
            <v>g</v>
          </cell>
          <cell r="D6">
            <v>50</v>
          </cell>
          <cell r="E6">
            <v>50</v>
          </cell>
        </row>
        <row r="7">
          <cell r="A7" t="str">
            <v>VL3</v>
          </cell>
          <cell r="B7" t="str">
            <v>Axit clohydrique (HCl) 0,1mol/l</v>
          </cell>
          <cell r="C7" t="str">
            <v>lít</v>
          </cell>
          <cell r="D7">
            <v>1527</v>
          </cell>
          <cell r="E7">
            <v>1527</v>
          </cell>
        </row>
        <row r="8">
          <cell r="A8" t="str">
            <v>VL4</v>
          </cell>
          <cell r="B8" t="str">
            <v>Băng cách điện</v>
          </cell>
          <cell r="C8" t="str">
            <v>cuộn</v>
          </cell>
          <cell r="D8">
            <v>4500</v>
          </cell>
          <cell r="E8">
            <v>4500</v>
          </cell>
        </row>
        <row r="9">
          <cell r="A9" t="str">
            <v>VL5</v>
          </cell>
          <cell r="B9" t="str">
            <v>Ống gen cách điện</v>
          </cell>
          <cell r="C9" t="str">
            <v>m</v>
          </cell>
          <cell r="D9">
            <v>2500</v>
          </cell>
          <cell r="E9">
            <v>2500</v>
          </cell>
        </row>
        <row r="10">
          <cell r="A10" t="str">
            <v>VL6</v>
          </cell>
          <cell r="B10" t="str">
            <v>benzen</v>
          </cell>
          <cell r="C10" t="str">
            <v>lít</v>
          </cell>
          <cell r="D10">
            <v>118182</v>
          </cell>
          <cell r="E10">
            <v>118182</v>
          </cell>
        </row>
        <row r="11">
          <cell r="A11" t="str">
            <v>VL7</v>
          </cell>
          <cell r="B11" t="str">
            <v>Cáp bọc 4 x 2,5 mm2</v>
          </cell>
          <cell r="C11" t="str">
            <v>m</v>
          </cell>
          <cell r="D11">
            <v>42230</v>
          </cell>
          <cell r="E11">
            <v>42230</v>
          </cell>
        </row>
        <row r="12">
          <cell r="A12" t="str">
            <v>VL8</v>
          </cell>
          <cell r="B12" t="str">
            <v>Cáp bọc 7 x 2,5 mm2</v>
          </cell>
          <cell r="C12" t="str">
            <v>m</v>
          </cell>
          <cell r="D12">
            <v>69370</v>
          </cell>
          <cell r="E12">
            <v>69370</v>
          </cell>
        </row>
        <row r="13">
          <cell r="A13" t="str">
            <v>VL9</v>
          </cell>
          <cell r="B13" t="str">
            <v>Dây điện Cu/PVC/PVC 2x4mm2</v>
          </cell>
          <cell r="C13" t="str">
            <v>m</v>
          </cell>
          <cell r="D13">
            <v>38930</v>
          </cell>
          <cell r="E13">
            <v>38930</v>
          </cell>
        </row>
        <row r="14">
          <cell r="A14" t="str">
            <v>VL10</v>
          </cell>
          <cell r="B14" t="str">
            <v>Dây đồng trần 1 x 6 mm2</v>
          </cell>
          <cell r="C14" t="str">
            <v>m</v>
          </cell>
          <cell r="D14">
            <v>15000</v>
          </cell>
          <cell r="E14">
            <v>15000</v>
          </cell>
        </row>
        <row r="15">
          <cell r="A15" t="str">
            <v>VL11</v>
          </cell>
          <cell r="B15" t="str">
            <v>Dây cáp điện 3 pha Cu/XLPE/PVC - 4x50 mm2</v>
          </cell>
          <cell r="C15" t="str">
            <v>m</v>
          </cell>
          <cell r="D15">
            <v>686480</v>
          </cell>
          <cell r="E15">
            <v>686480</v>
          </cell>
        </row>
        <row r="16">
          <cell r="A16" t="str">
            <v>VL12</v>
          </cell>
          <cell r="B16" t="str">
            <v>Cồn công nghiệp</v>
          </cell>
          <cell r="C16" t="str">
            <v>kg</v>
          </cell>
          <cell r="D16">
            <v>38000</v>
          </cell>
          <cell r="E16">
            <v>38000</v>
          </cell>
        </row>
        <row r="17">
          <cell r="A17" t="str">
            <v>VL13</v>
          </cell>
          <cell r="B17" t="str">
            <v>Dầu biến áp</v>
          </cell>
          <cell r="C17" t="str">
            <v>kg</v>
          </cell>
          <cell r="D17">
            <v>75000</v>
          </cell>
          <cell r="E17">
            <v>75000</v>
          </cell>
        </row>
        <row r="18">
          <cell r="A18" t="str">
            <v>VL14</v>
          </cell>
          <cell r="B18" t="str">
            <v>Dây điện 2 x 1,5 mm2</v>
          </cell>
          <cell r="C18" t="str">
            <v>m</v>
          </cell>
          <cell r="D18">
            <v>18340</v>
          </cell>
          <cell r="E18">
            <v>18340</v>
          </cell>
        </row>
        <row r="19">
          <cell r="A19" t="str">
            <v>VL15</v>
          </cell>
          <cell r="B19" t="str">
            <v>Điện năng</v>
          </cell>
          <cell r="C19" t="str">
            <v>kWh</v>
          </cell>
          <cell r="D19">
            <v>2103</v>
          </cell>
          <cell r="E19">
            <v>2103</v>
          </cell>
        </row>
        <row r="20">
          <cell r="A20" t="str">
            <v>VL16</v>
          </cell>
          <cell r="B20" t="str">
            <v>Êtanola đẳng khí  ( Điểm sôi 78,2  °C)</v>
          </cell>
          <cell r="C20" t="str">
            <v>lít</v>
          </cell>
          <cell r="D20">
            <v>40909</v>
          </cell>
          <cell r="E20">
            <v>40909</v>
          </cell>
        </row>
        <row r="21">
          <cell r="A21" t="str">
            <v>VL17</v>
          </cell>
          <cell r="B21" t="str">
            <v>Giấy lọc không tro</v>
          </cell>
          <cell r="C21" t="str">
            <v>hộp</v>
          </cell>
          <cell r="D21">
            <v>22880</v>
          </cell>
          <cell r="E21">
            <v>22880</v>
          </cell>
        </row>
        <row r="22">
          <cell r="A22" t="str">
            <v>VL18</v>
          </cell>
          <cell r="B22" t="str">
            <v>Giấy lọc thường</v>
          </cell>
          <cell r="C22" t="str">
            <v>hộp</v>
          </cell>
          <cell r="D22">
            <v>16016</v>
          </cell>
          <cell r="E22">
            <v>16016</v>
          </cell>
        </row>
        <row r="23">
          <cell r="A23" t="str">
            <v>VL19</v>
          </cell>
          <cell r="B23" t="str">
            <v>Giấy nhám số 0</v>
          </cell>
          <cell r="C23" t="str">
            <v>tờ</v>
          </cell>
          <cell r="D23">
            <v>2500</v>
          </cell>
          <cell r="E23">
            <v>2500</v>
          </cell>
        </row>
        <row r="24">
          <cell r="A24" t="str">
            <v>VL20</v>
          </cell>
          <cell r="B24" t="str">
            <v>Giẻ lau</v>
          </cell>
          <cell r="C24" t="str">
            <v>kg</v>
          </cell>
          <cell r="D24">
            <v>25000</v>
          </cell>
          <cell r="E24">
            <v>25000</v>
          </cell>
        </row>
        <row r="25">
          <cell r="A25" t="str">
            <v>VL21</v>
          </cell>
          <cell r="B25" t="str">
            <v>Heptan</v>
          </cell>
          <cell r="C25" t="str">
            <v>lít</v>
          </cell>
          <cell r="D25">
            <v>218182</v>
          </cell>
          <cell r="E25">
            <v>218182</v>
          </cell>
        </row>
        <row r="26">
          <cell r="A26" t="str">
            <v>VL22</v>
          </cell>
          <cell r="B26" t="str">
            <v>Hydranal A</v>
          </cell>
          <cell r="C26" t="str">
            <v>lít</v>
          </cell>
          <cell r="D26">
            <v>136364</v>
          </cell>
          <cell r="E26">
            <v>136364</v>
          </cell>
        </row>
        <row r="27">
          <cell r="A27" t="str">
            <v>VL23</v>
          </cell>
          <cell r="B27" t="str">
            <v>Hydranal C</v>
          </cell>
          <cell r="C27" t="str">
            <v>lít</v>
          </cell>
          <cell r="D27">
            <v>136364</v>
          </cell>
          <cell r="E27">
            <v>136364</v>
          </cell>
        </row>
        <row r="28">
          <cell r="A28" t="str">
            <v>VL24</v>
          </cell>
          <cell r="B28" t="str">
            <v>Hyđroxydekali (KOH)</v>
          </cell>
          <cell r="C28" t="str">
            <v>kg</v>
          </cell>
          <cell r="D28">
            <v>122727</v>
          </cell>
          <cell r="E28">
            <v>122727</v>
          </cell>
        </row>
        <row r="29">
          <cell r="A29" t="str">
            <v>VL25</v>
          </cell>
          <cell r="B29" t="str">
            <v>Khí argon  99,999%</v>
          </cell>
          <cell r="C29" t="str">
            <v>bình</v>
          </cell>
          <cell r="D29">
            <v>1000000</v>
          </cell>
          <cell r="E29">
            <v>1000000</v>
          </cell>
        </row>
        <row r="30">
          <cell r="A30" t="str">
            <v>VL26</v>
          </cell>
          <cell r="B30" t="str">
            <v>Khí chuẩn nồng độ thấp, nồng độ cao</v>
          </cell>
          <cell r="C30" t="str">
            <v>bình</v>
          </cell>
          <cell r="D30">
            <v>21101850</v>
          </cell>
          <cell r="E30">
            <v>21101850</v>
          </cell>
        </row>
        <row r="31">
          <cell r="A31" t="str">
            <v>VL27</v>
          </cell>
          <cell r="B31" t="str">
            <v>Mỡ các loại</v>
          </cell>
          <cell r="C31" t="str">
            <v>kg</v>
          </cell>
          <cell r="D31">
            <v>24960</v>
          </cell>
          <cell r="E31">
            <v>24960</v>
          </cell>
        </row>
        <row r="32">
          <cell r="A32" t="str">
            <v>VL28</v>
          </cell>
          <cell r="B32" t="str">
            <v>Nước cất</v>
          </cell>
          <cell r="C32" t="str">
            <v>lít</v>
          </cell>
          <cell r="D32">
            <v>1500</v>
          </cell>
          <cell r="E32">
            <v>1500</v>
          </cell>
        </row>
        <row r="33">
          <cell r="A33" t="str">
            <v>VL29</v>
          </cell>
          <cell r="B33" t="str">
            <v>Nước siêu sạch &gt; 5 Mega ôm</v>
          </cell>
          <cell r="C33" t="str">
            <v>lít</v>
          </cell>
          <cell r="D33">
            <v>104000</v>
          </cell>
          <cell r="E33">
            <v>104000</v>
          </cell>
        </row>
        <row r="34">
          <cell r="A34" t="str">
            <v>VL30</v>
          </cell>
          <cell r="B34" t="str">
            <v>ống nhựa  d10</v>
          </cell>
          <cell r="C34" t="str">
            <v>m</v>
          </cell>
          <cell r="D34">
            <v>4220</v>
          </cell>
          <cell r="E34">
            <v>4220</v>
          </cell>
        </row>
        <row r="35">
          <cell r="A35" t="str">
            <v>VL31</v>
          </cell>
          <cell r="B35" t="str">
            <v>Ôxy</v>
          </cell>
          <cell r="C35" t="str">
            <v>chai</v>
          </cell>
          <cell r="D35">
            <v>30000</v>
          </cell>
          <cell r="E35">
            <v>30000</v>
          </cell>
        </row>
        <row r="36">
          <cell r="A36" t="str">
            <v>VL32</v>
          </cell>
          <cell r="B36" t="str">
            <v>Toluen (không có lưu huỳnh)</v>
          </cell>
          <cell r="C36" t="str">
            <v>lít</v>
          </cell>
          <cell r="D36">
            <v>36364</v>
          </cell>
          <cell r="E36">
            <v>36364</v>
          </cell>
        </row>
        <row r="37">
          <cell r="A37" t="str">
            <v>VL33</v>
          </cell>
          <cell r="B37" t="str">
            <v>Vải phin trắng 0,8m</v>
          </cell>
          <cell r="C37" t="str">
            <v>m</v>
          </cell>
          <cell r="D37">
            <v>25000</v>
          </cell>
          <cell r="E37">
            <v>25000</v>
          </cell>
        </row>
        <row r="38">
          <cell r="A38" t="str">
            <v>VL34</v>
          </cell>
          <cell r="B38" t="str">
            <v>Xăng</v>
          </cell>
          <cell r="C38" t="str">
            <v>kg</v>
          </cell>
          <cell r="D38">
            <v>22040</v>
          </cell>
          <cell r="E38">
            <v>22040</v>
          </cell>
        </row>
        <row r="39">
          <cell r="A39" t="str">
            <v>VL35</v>
          </cell>
          <cell r="B39" t="str">
            <v>Xăng nhẹ</v>
          </cell>
          <cell r="C39" t="str">
            <v>kg</v>
          </cell>
          <cell r="D39">
            <v>27000</v>
          </cell>
          <cell r="E39">
            <v>27000</v>
          </cell>
        </row>
        <row r="40">
          <cell r="A40" t="str">
            <v>VL36</v>
          </cell>
          <cell r="B40" t="str">
            <v xml:space="preserve">Băng keo cách điện trung ARLON (M70)- Băng keo cao su silicone tự kết dính mạnh,  tan chảy trong 24 giờ tạo thành lớp liền mạch, không thấm nước và cách điện </v>
          </cell>
          <cell r="C40" t="str">
            <v>Cuộn</v>
          </cell>
          <cell r="D40">
            <v>400000</v>
          </cell>
          <cell r="E40">
            <v>400000</v>
          </cell>
        </row>
        <row r="41">
          <cell r="A41" t="str">
            <v>VL37</v>
          </cell>
          <cell r="B41" t="str">
            <v>Băng keo cách điện trung thế Mastic Scotch 2228 (Băng keo cao su đàn hồi, bám dính bề mặt, tự kết dính, cách điện, làm kín chống nước)</v>
          </cell>
          <cell r="C41" t="str">
            <v>Cuộn</v>
          </cell>
          <cell r="D41">
            <v>400000</v>
          </cell>
          <cell r="E41">
            <v>400000</v>
          </cell>
        </row>
        <row r="42">
          <cell r="A42" t="str">
            <v>VL38</v>
          </cell>
          <cell r="B42" t="str">
            <v>Băng keo cách điện trung thế 3M Scotch 70</v>
          </cell>
          <cell r="C42" t="str">
            <v>Cuộn</v>
          </cell>
          <cell r="D42">
            <v>400000</v>
          </cell>
          <cell r="E42">
            <v>400000</v>
          </cell>
        </row>
        <row r="43">
          <cell r="A43" t="str">
            <v>VL39</v>
          </cell>
          <cell r="B43" t="str">
            <v>Dây đồng Cu/PVC 1 x 6 mm2</v>
          </cell>
          <cell r="C43" t="str">
            <v>m</v>
          </cell>
          <cell r="D43">
            <v>23300</v>
          </cell>
          <cell r="E43">
            <v>23300</v>
          </cell>
        </row>
        <row r="44">
          <cell r="A44" t="str">
            <v>VL40</v>
          </cell>
          <cell r="B44" t="str">
            <v>Dây đồng Cu/PVC 1 x 4 mm2</v>
          </cell>
          <cell r="C44" t="str">
            <v>m</v>
          </cell>
          <cell r="D44">
            <v>18900</v>
          </cell>
          <cell r="E44">
            <v>18900</v>
          </cell>
        </row>
      </sheetData>
      <sheetData sheetId="7" refreshError="1">
        <row r="16">
          <cell r="A16" t="str">
            <v>CN1.II</v>
          </cell>
          <cell r="B16" t="str">
            <v>Công nhân 1,0 /7</v>
          </cell>
          <cell r="C16">
            <v>1</v>
          </cell>
          <cell r="D16">
            <v>0</v>
          </cell>
          <cell r="E16">
            <v>167897</v>
          </cell>
          <cell r="F16">
            <v>161849</v>
          </cell>
        </row>
        <row r="17">
          <cell r="A17" t="str">
            <v>CN1,5.II</v>
          </cell>
          <cell r="B17" t="str">
            <v>Công nhân 1,5 /7</v>
          </cell>
          <cell r="C17">
            <v>1.0899999999999999</v>
          </cell>
          <cell r="D17">
            <v>0</v>
          </cell>
          <cell r="E17">
            <v>183007</v>
          </cell>
          <cell r="F17">
            <v>176415</v>
          </cell>
        </row>
        <row r="18">
          <cell r="A18" t="str">
            <v>CN2.II</v>
          </cell>
          <cell r="B18" t="str">
            <v>Công nhân 2,0 /7</v>
          </cell>
          <cell r="C18">
            <v>1.18</v>
          </cell>
          <cell r="D18">
            <v>0</v>
          </cell>
          <cell r="E18">
            <v>198118</v>
          </cell>
          <cell r="F18">
            <v>190981</v>
          </cell>
        </row>
        <row r="19">
          <cell r="A19" t="str">
            <v>CN2,5.II</v>
          </cell>
          <cell r="B19" t="str">
            <v>Công nhân 2,5 /7</v>
          </cell>
          <cell r="C19">
            <v>1.2849999999999999</v>
          </cell>
          <cell r="D19">
            <v>0</v>
          </cell>
          <cell r="E19">
            <v>215747</v>
          </cell>
          <cell r="F19">
            <v>207976</v>
          </cell>
        </row>
        <row r="20">
          <cell r="A20" t="str">
            <v>CN3.II</v>
          </cell>
          <cell r="B20" t="str">
            <v>Công nhân 3,0 /7</v>
          </cell>
          <cell r="C20">
            <v>1.39</v>
          </cell>
          <cell r="D20">
            <v>0</v>
          </cell>
          <cell r="E20">
            <v>233376</v>
          </cell>
          <cell r="F20">
            <v>224970</v>
          </cell>
        </row>
        <row r="21">
          <cell r="A21" t="str">
            <v>CN3,5.II</v>
          </cell>
          <cell r="B21" t="str">
            <v>Công nhân 3,5 /7</v>
          </cell>
          <cell r="C21">
            <v>1.52</v>
          </cell>
          <cell r="D21">
            <v>0</v>
          </cell>
          <cell r="E21">
            <v>255203</v>
          </cell>
          <cell r="F21">
            <v>246010</v>
          </cell>
        </row>
        <row r="22">
          <cell r="A22" t="str">
            <v>CN4.II</v>
          </cell>
          <cell r="B22" t="str">
            <v>Công nhân 4,0 /7</v>
          </cell>
          <cell r="C22">
            <v>1.65</v>
          </cell>
          <cell r="D22">
            <v>0</v>
          </cell>
          <cell r="E22">
            <v>277030</v>
          </cell>
          <cell r="F22">
            <v>267050</v>
          </cell>
        </row>
        <row r="23">
          <cell r="A23" t="str">
            <v>CN4,5.II</v>
          </cell>
          <cell r="B23" t="str">
            <v>Công nhân 4,5 /7</v>
          </cell>
          <cell r="C23">
            <v>1.7949999999999999</v>
          </cell>
          <cell r="D23">
            <v>0</v>
          </cell>
          <cell r="E23">
            <v>301375</v>
          </cell>
          <cell r="F23">
            <v>290518</v>
          </cell>
        </row>
        <row r="24">
          <cell r="A24" t="str">
            <v>CN5.II</v>
          </cell>
          <cell r="B24" t="str">
            <v>Công nhân 5,0 /7</v>
          </cell>
          <cell r="C24">
            <v>1.94</v>
          </cell>
          <cell r="D24">
            <v>0</v>
          </cell>
          <cell r="E24">
            <v>325720</v>
          </cell>
          <cell r="F24">
            <v>313986</v>
          </cell>
        </row>
        <row r="25">
          <cell r="A25" t="str">
            <v>CN5,5.II</v>
          </cell>
          <cell r="B25" t="str">
            <v>Công nhân 5,5 /7</v>
          </cell>
          <cell r="C25">
            <v>2.12</v>
          </cell>
          <cell r="D25">
            <v>0</v>
          </cell>
          <cell r="E25">
            <v>355941</v>
          </cell>
          <cell r="F25">
            <v>343119</v>
          </cell>
        </row>
        <row r="26">
          <cell r="A26" t="str">
            <v>CN6.II</v>
          </cell>
          <cell r="B26" t="str">
            <v>Công nhân 6,0 /7</v>
          </cell>
          <cell r="C26">
            <v>2.2999999999999998</v>
          </cell>
          <cell r="D26">
            <v>0</v>
          </cell>
          <cell r="E26">
            <v>386162</v>
          </cell>
          <cell r="F26">
            <v>372252</v>
          </cell>
        </row>
        <row r="27">
          <cell r="A27" t="str">
            <v>CN6,5.II</v>
          </cell>
          <cell r="B27" t="str">
            <v>Công nhân 6,5 /7</v>
          </cell>
          <cell r="C27">
            <v>2.5049999999999999</v>
          </cell>
          <cell r="D27">
            <v>0</v>
          </cell>
          <cell r="E27">
            <v>420581</v>
          </cell>
          <cell r="F27">
            <v>405431</v>
          </cell>
        </row>
        <row r="28">
          <cell r="A28" t="str">
            <v>CN7.II</v>
          </cell>
          <cell r="B28" t="str">
            <v>Công nhân 7,0 /7</v>
          </cell>
          <cell r="C28">
            <v>2.71</v>
          </cell>
          <cell r="D28">
            <v>0</v>
          </cell>
          <cell r="E28">
            <v>455000</v>
          </cell>
          <cell r="F28">
            <v>438610</v>
          </cell>
        </row>
        <row r="30">
          <cell r="A30" t="str">
            <v>III</v>
          </cell>
          <cell r="B30" t="str">
            <v>BẢNG ĐƠN GIÁ NHÂN CÔNG KỸ SƯ KHẢO SÁT THÍ NGHIỆM</v>
          </cell>
        </row>
        <row r="32">
          <cell r="A32" t="str">
            <v>STT</v>
          </cell>
          <cell r="B32" t="str">
            <v>Cấp bậc nhân công</v>
          </cell>
          <cell r="C32" t="str">
            <v>Cấp bậc bình quân</v>
          </cell>
          <cell r="D32" t="str">
            <v>Đơn giá nhân công (đồng/ngày)</v>
          </cell>
        </row>
        <row r="33">
          <cell r="D33" t="str">
            <v>II</v>
          </cell>
          <cell r="E33" t="str">
            <v>III</v>
          </cell>
          <cell r="F33" t="str">
            <v>IV</v>
          </cell>
        </row>
        <row r="34">
          <cell r="A34" t="str">
            <v>KS1</v>
          </cell>
          <cell r="B34" t="str">
            <v>Kỹ sư 1,0/8</v>
          </cell>
          <cell r="C34">
            <v>1</v>
          </cell>
          <cell r="D34">
            <v>0</v>
          </cell>
          <cell r="E34">
            <v>191882</v>
          </cell>
          <cell r="F34">
            <v>184970</v>
          </cell>
        </row>
        <row r="35">
          <cell r="A35" t="str">
            <v>KS2</v>
          </cell>
          <cell r="B35" t="str">
            <v>Kỹ sư 2,0/8</v>
          </cell>
          <cell r="C35">
            <v>1.1299999999999999</v>
          </cell>
          <cell r="D35">
            <v>0</v>
          </cell>
          <cell r="E35">
            <v>216827</v>
          </cell>
          <cell r="F35">
            <v>209016</v>
          </cell>
        </row>
        <row r="36">
          <cell r="A36" t="str">
            <v>KS2,5</v>
          </cell>
          <cell r="B36" t="str">
            <v>Kỹ sư 2,5/8</v>
          </cell>
          <cell r="C36">
            <v>1.1949999999999998</v>
          </cell>
          <cell r="D36">
            <v>0</v>
          </cell>
          <cell r="E36">
            <v>229299</v>
          </cell>
          <cell r="F36">
            <v>221039</v>
          </cell>
        </row>
        <row r="37">
          <cell r="A37" t="str">
            <v>KS3</v>
          </cell>
          <cell r="B37" t="str">
            <v>Kỹ sư 3,0/8</v>
          </cell>
          <cell r="C37">
            <v>1.26</v>
          </cell>
          <cell r="D37">
            <v>0</v>
          </cell>
          <cell r="E37">
            <v>241772</v>
          </cell>
          <cell r="F37">
            <v>233062</v>
          </cell>
        </row>
        <row r="38">
          <cell r="A38" t="str">
            <v>KS3,5</v>
          </cell>
          <cell r="B38" t="str">
            <v>Kỹ sư 3,5/8</v>
          </cell>
          <cell r="C38">
            <v>1.33</v>
          </cell>
          <cell r="D38">
            <v>0</v>
          </cell>
          <cell r="E38">
            <v>255203</v>
          </cell>
          <cell r="F38">
            <v>246010</v>
          </cell>
        </row>
        <row r="39">
          <cell r="A39" t="str">
            <v>KS4</v>
          </cell>
          <cell r="B39" t="str">
            <v>Kỹ sư 4,0/8</v>
          </cell>
          <cell r="C39">
            <v>1.4</v>
          </cell>
          <cell r="D39">
            <v>0</v>
          </cell>
          <cell r="E39">
            <v>268635</v>
          </cell>
          <cell r="F39">
            <v>258958</v>
          </cell>
        </row>
        <row r="40">
          <cell r="A40" t="str">
            <v>KS5</v>
          </cell>
          <cell r="B40" t="str">
            <v>Kỹ sư 5,0/8</v>
          </cell>
          <cell r="C40">
            <v>1.53</v>
          </cell>
          <cell r="D40">
            <v>0</v>
          </cell>
          <cell r="E40">
            <v>293580</v>
          </cell>
          <cell r="F40">
            <v>283004</v>
          </cell>
        </row>
        <row r="41">
          <cell r="A41" t="str">
            <v>KS6</v>
          </cell>
          <cell r="B41" t="str">
            <v>Kỹ sư 6,0/8</v>
          </cell>
          <cell r="C41">
            <v>1.66</v>
          </cell>
          <cell r="D41">
            <v>0</v>
          </cell>
          <cell r="E41">
            <v>318524</v>
          </cell>
          <cell r="F41">
            <v>307050</v>
          </cell>
        </row>
        <row r="42">
          <cell r="A42" t="str">
            <v>KS7</v>
          </cell>
          <cell r="B42" t="str">
            <v>Kỹ sư 7,0/8</v>
          </cell>
          <cell r="C42">
            <v>1.79</v>
          </cell>
          <cell r="D42">
            <v>0</v>
          </cell>
          <cell r="E42">
            <v>343469</v>
          </cell>
          <cell r="F42">
            <v>331096</v>
          </cell>
        </row>
        <row r="43">
          <cell r="A43" t="str">
            <v>KS8</v>
          </cell>
          <cell r="B43" t="str">
            <v>Kỹ sư 8,0/8</v>
          </cell>
          <cell r="C43">
            <v>1.93</v>
          </cell>
          <cell r="D43">
            <v>0</v>
          </cell>
          <cell r="E43">
            <v>370333</v>
          </cell>
          <cell r="F43">
            <v>356992</v>
          </cell>
        </row>
      </sheetData>
      <sheetData sheetId="8" refreshError="1">
        <row r="8">
          <cell r="B8" t="str">
            <v>M203.0001</v>
          </cell>
          <cell r="C8" t="str">
            <v>Bộ nguồn 3 pha; Bộ nguồn 1 pha</v>
          </cell>
          <cell r="D8">
            <v>220</v>
          </cell>
          <cell r="E8">
            <v>10</v>
          </cell>
          <cell r="F8">
            <v>3.5</v>
          </cell>
          <cell r="G8">
            <v>5</v>
          </cell>
          <cell r="H8">
            <v>404287</v>
          </cell>
          <cell r="I8">
            <v>404287</v>
          </cell>
        </row>
        <row r="9">
          <cell r="B9" t="str">
            <v>M203.0002</v>
          </cell>
          <cell r="C9" t="str">
            <v>Bộ nguồn AC-DC</v>
          </cell>
          <cell r="D9">
            <v>220</v>
          </cell>
          <cell r="E9">
            <v>10</v>
          </cell>
          <cell r="F9">
            <v>3.5</v>
          </cell>
          <cell r="G9">
            <v>5</v>
          </cell>
          <cell r="H9">
            <v>39763</v>
          </cell>
          <cell r="I9">
            <v>39763</v>
          </cell>
        </row>
        <row r="10">
          <cell r="B10" t="str">
            <v>M203.0003</v>
          </cell>
          <cell r="C10" t="str">
            <v>Công tơ mẫu xách tay</v>
          </cell>
          <cell r="D10">
            <v>220</v>
          </cell>
          <cell r="E10">
            <v>10</v>
          </cell>
          <cell r="F10">
            <v>3.5</v>
          </cell>
          <cell r="G10">
            <v>5</v>
          </cell>
          <cell r="H10">
            <v>167533</v>
          </cell>
          <cell r="I10">
            <v>167533</v>
          </cell>
        </row>
        <row r="11">
          <cell r="B11" t="str">
            <v>M203.0004</v>
          </cell>
          <cell r="C11" t="str">
            <v>Hợp bộ đo Tgd delta; Hợp bộ thí nghiệm điện áp xoay chiều tăng cao tần số thấp, tgδ, phóng điện; Hợp bộ đo và phân tích phóng điện cục bộ; Máy đo phóng điện cục bộ</v>
          </cell>
          <cell r="D11">
            <v>220</v>
          </cell>
          <cell r="E11">
            <v>10</v>
          </cell>
          <cell r="F11">
            <v>3.5</v>
          </cell>
          <cell r="G11">
            <v>5</v>
          </cell>
          <cell r="H11">
            <v>796170</v>
          </cell>
          <cell r="I11">
            <v>796170</v>
          </cell>
        </row>
        <row r="12">
          <cell r="B12" t="str">
            <v>M203.0005</v>
          </cell>
          <cell r="C12" t="str">
            <v>Hợp bộ đo lường</v>
          </cell>
          <cell r="D12">
            <v>220</v>
          </cell>
          <cell r="E12">
            <v>10</v>
          </cell>
          <cell r="F12">
            <v>3.5</v>
          </cell>
          <cell r="G12">
            <v>5</v>
          </cell>
          <cell r="H12">
            <v>752669</v>
          </cell>
          <cell r="I12">
            <v>752669</v>
          </cell>
        </row>
        <row r="13">
          <cell r="B13" t="str">
            <v>M203.0006</v>
          </cell>
          <cell r="C13" t="str">
            <v>Hợp bộ máy phân tích hàm lượng khí hoà tan trong dầu cách điện.</v>
          </cell>
          <cell r="D13">
            <v>220</v>
          </cell>
          <cell r="E13">
            <v>10</v>
          </cell>
          <cell r="F13">
            <v>3.5</v>
          </cell>
          <cell r="G13">
            <v>5</v>
          </cell>
          <cell r="H13">
            <v>1287736</v>
          </cell>
          <cell r="I13">
            <v>1287736</v>
          </cell>
        </row>
        <row r="14">
          <cell r="B14" t="str">
            <v>M203.0007</v>
          </cell>
          <cell r="C14" t="str">
            <v>Hợp bộ thí nghiệm cao áp (một chiều/xoay chiều); Hợp bộ thí nghiệm cao áp, cao áp cảm ứng (cho cấp điện áp từ 1kV đến 110kV); Hợp bộ thử nghiệm điện áp xoay chiều (cho cấp điện áp từ 1kV đến 110kV); Hợp bộ thử nghiệm cảm ứng máy biến áp phân phối (cấp điện áp đến 35 kV); Hợp bộ thử cao áp; cao áp xoay chiều; điện áp xoay chiều (cấp điện áp từ 1kV đến 35 kV)</v>
          </cell>
          <cell r="D14">
            <v>220</v>
          </cell>
          <cell r="E14">
            <v>10</v>
          </cell>
          <cell r="F14">
            <v>3.5</v>
          </cell>
          <cell r="G14">
            <v>5</v>
          </cell>
          <cell r="H14">
            <v>403740</v>
          </cell>
          <cell r="I14">
            <v>403740</v>
          </cell>
        </row>
        <row r="15">
          <cell r="B15" t="str">
            <v>M203.0008</v>
          </cell>
          <cell r="C15" t="str">
            <v>Hợp bộ thí nghiệm rơ le</v>
          </cell>
          <cell r="D15">
            <v>220</v>
          </cell>
          <cell r="E15">
            <v>10</v>
          </cell>
          <cell r="F15">
            <v>3.5</v>
          </cell>
          <cell r="G15">
            <v>5</v>
          </cell>
          <cell r="H15">
            <v>760420</v>
          </cell>
          <cell r="I15">
            <v>760420</v>
          </cell>
        </row>
        <row r="16">
          <cell r="B16" t="str">
            <v>M203.0009</v>
          </cell>
          <cell r="C16" t="str">
            <v>Máy Điều chỉnh điện áp 1pha</v>
          </cell>
          <cell r="D16">
            <v>220</v>
          </cell>
          <cell r="E16">
            <v>10</v>
          </cell>
          <cell r="F16">
            <v>3.5</v>
          </cell>
          <cell r="G16">
            <v>5</v>
          </cell>
          <cell r="H16">
            <v>16679</v>
          </cell>
          <cell r="I16">
            <v>16679</v>
          </cell>
        </row>
        <row r="17">
          <cell r="B17" t="str">
            <v>M203.0010</v>
          </cell>
          <cell r="C17" t="str">
            <v>Máy đo độ axít</v>
          </cell>
          <cell r="D17">
            <v>220</v>
          </cell>
          <cell r="E17">
            <v>10</v>
          </cell>
          <cell r="F17">
            <v>3.5</v>
          </cell>
          <cell r="G17">
            <v>5</v>
          </cell>
          <cell r="H17">
            <v>145190</v>
          </cell>
          <cell r="I17">
            <v>145190</v>
          </cell>
        </row>
        <row r="18">
          <cell r="B18" t="str">
            <v>M203.0011</v>
          </cell>
          <cell r="C18" t="str">
            <v>Máy đo độ chớp cháy kín</v>
          </cell>
          <cell r="D18">
            <v>220</v>
          </cell>
          <cell r="E18">
            <v>10</v>
          </cell>
          <cell r="F18">
            <v>3.5</v>
          </cell>
          <cell r="G18">
            <v>5</v>
          </cell>
          <cell r="H18">
            <v>139170</v>
          </cell>
          <cell r="I18">
            <v>139170</v>
          </cell>
        </row>
        <row r="19">
          <cell r="B19" t="str">
            <v>M203.0012</v>
          </cell>
          <cell r="C19" t="str">
            <v>Máy đo độ nhớt</v>
          </cell>
          <cell r="D19">
            <v>220</v>
          </cell>
          <cell r="E19">
            <v>10</v>
          </cell>
          <cell r="F19">
            <v>3.5</v>
          </cell>
          <cell r="G19">
            <v>5</v>
          </cell>
          <cell r="H19">
            <v>119562</v>
          </cell>
          <cell r="I19">
            <v>119562</v>
          </cell>
        </row>
        <row r="20">
          <cell r="B20" t="str">
            <v>M203.0013</v>
          </cell>
          <cell r="C20" t="str">
            <v>Máy đo điện áp xuyên thủng</v>
          </cell>
          <cell r="D20">
            <v>220</v>
          </cell>
          <cell r="E20">
            <v>10</v>
          </cell>
          <cell r="F20">
            <v>3.5</v>
          </cell>
          <cell r="G20">
            <v>5</v>
          </cell>
          <cell r="H20">
            <v>29093</v>
          </cell>
          <cell r="I20">
            <v>29093</v>
          </cell>
        </row>
        <row r="21">
          <cell r="B21" t="str">
            <v>M203.0014</v>
          </cell>
          <cell r="C21" t="str">
            <v>Máy đo điện trở một chiều; Hợp bộ đo điện trở 1 chiều; Máy đo điện trở một chiều đường dây; máy đo điện trở một chiều cuộn dây</v>
          </cell>
          <cell r="D21">
            <v>220</v>
          </cell>
          <cell r="E21">
            <v>10</v>
          </cell>
          <cell r="F21">
            <v>3.5</v>
          </cell>
          <cell r="G21">
            <v>5</v>
          </cell>
          <cell r="H21">
            <v>142910</v>
          </cell>
          <cell r="I21">
            <v>142910</v>
          </cell>
        </row>
        <row r="22">
          <cell r="B22" t="str">
            <v>M203.0015</v>
          </cell>
          <cell r="C22" t="str">
            <v>Máy đo điện trở tiếp địa; Máy đo điện trở suất đất</v>
          </cell>
          <cell r="D22">
            <v>220</v>
          </cell>
          <cell r="E22">
            <v>10</v>
          </cell>
          <cell r="F22">
            <v>3.5</v>
          </cell>
          <cell r="G22">
            <v>5</v>
          </cell>
          <cell r="H22">
            <v>48609</v>
          </cell>
          <cell r="I22">
            <v>48609</v>
          </cell>
        </row>
        <row r="23">
          <cell r="B23" t="str">
            <v>M203.0016</v>
          </cell>
          <cell r="C23" t="str">
            <v>Máy đo điện trở tiếp xúc</v>
          </cell>
          <cell r="D23">
            <v>220</v>
          </cell>
          <cell r="E23">
            <v>10</v>
          </cell>
          <cell r="F23">
            <v>3.5</v>
          </cell>
          <cell r="G23">
            <v>5</v>
          </cell>
          <cell r="H23">
            <v>83447</v>
          </cell>
          <cell r="I23">
            <v>83447</v>
          </cell>
        </row>
        <row r="24">
          <cell r="B24" t="str">
            <v>M203.0017</v>
          </cell>
          <cell r="C24" t="str">
            <v>Máy đo Tgd dầu cách điện</v>
          </cell>
          <cell r="D24">
            <v>220</v>
          </cell>
          <cell r="E24">
            <v>10</v>
          </cell>
          <cell r="F24">
            <v>3.5</v>
          </cell>
          <cell r="G24">
            <v>5</v>
          </cell>
          <cell r="H24">
            <v>290561</v>
          </cell>
          <cell r="I24">
            <v>290561</v>
          </cell>
        </row>
        <row r="25">
          <cell r="B25" t="str">
            <v>M203.0018</v>
          </cell>
          <cell r="C25" t="str">
            <v>Máy đo tỷ trọng</v>
          </cell>
          <cell r="D25">
            <v>220</v>
          </cell>
          <cell r="E25">
            <v>10</v>
          </cell>
          <cell r="F25">
            <v>3.5</v>
          </cell>
          <cell r="G25">
            <v>5</v>
          </cell>
          <cell r="H25">
            <v>58459</v>
          </cell>
          <cell r="I25">
            <v>58459</v>
          </cell>
        </row>
        <row r="26">
          <cell r="B26" t="str">
            <v>M203.0019</v>
          </cell>
          <cell r="C26" t="str">
            <v>Máy đo vạn năng; Máy đo điện dung</v>
          </cell>
          <cell r="D26">
            <v>220</v>
          </cell>
          <cell r="E26">
            <v>10</v>
          </cell>
          <cell r="F26">
            <v>3.5</v>
          </cell>
          <cell r="G26">
            <v>5</v>
          </cell>
          <cell r="H26">
            <v>120292</v>
          </cell>
          <cell r="I26">
            <v>120292</v>
          </cell>
        </row>
        <row r="27">
          <cell r="B27" t="str">
            <v>M203.0020</v>
          </cell>
          <cell r="C27" t="str">
            <v>Máy chụp sóng</v>
          </cell>
          <cell r="D27">
            <v>220</v>
          </cell>
          <cell r="E27">
            <v>10</v>
          </cell>
          <cell r="F27">
            <v>3.5</v>
          </cell>
          <cell r="G27">
            <v>5</v>
          </cell>
          <cell r="H27">
            <v>414684</v>
          </cell>
          <cell r="I27">
            <v>414684</v>
          </cell>
        </row>
        <row r="28">
          <cell r="B28" t="str">
            <v>M203.0021</v>
          </cell>
          <cell r="C28" t="str">
            <v>Máy kiểm tra độ ổn định ô xy hoá dầu</v>
          </cell>
          <cell r="D28">
            <v>220</v>
          </cell>
          <cell r="E28">
            <v>10</v>
          </cell>
          <cell r="F28">
            <v>3.5</v>
          </cell>
          <cell r="G28">
            <v>5</v>
          </cell>
          <cell r="H28">
            <v>297584</v>
          </cell>
          <cell r="I28">
            <v>297584</v>
          </cell>
        </row>
        <row r="29">
          <cell r="B29" t="str">
            <v>M203.0022</v>
          </cell>
          <cell r="C29" t="str">
            <v>Máy phát tần số</v>
          </cell>
          <cell r="D29">
            <v>220</v>
          </cell>
          <cell r="E29">
            <v>10</v>
          </cell>
          <cell r="F29">
            <v>3.5</v>
          </cell>
          <cell r="G29">
            <v>5</v>
          </cell>
          <cell r="H29">
            <v>105974</v>
          </cell>
          <cell r="I29">
            <v>105974</v>
          </cell>
        </row>
        <row r="30">
          <cell r="B30" t="str">
            <v>M203.0023</v>
          </cell>
          <cell r="C30" t="str">
            <v>Máy phân tích độ ẩm khí SF6</v>
          </cell>
          <cell r="D30">
            <v>220</v>
          </cell>
          <cell r="E30">
            <v>10</v>
          </cell>
          <cell r="F30">
            <v>3.5</v>
          </cell>
          <cell r="G30">
            <v>5</v>
          </cell>
          <cell r="H30">
            <v>146558</v>
          </cell>
          <cell r="I30">
            <v>146558</v>
          </cell>
        </row>
        <row r="31">
          <cell r="B31" t="str">
            <v>M203.0024</v>
          </cell>
          <cell r="C31" t="str">
            <v>Máy vi lượng ẩm</v>
          </cell>
          <cell r="D31">
            <v>220</v>
          </cell>
          <cell r="E31">
            <v>10</v>
          </cell>
          <cell r="F31">
            <v>3.5</v>
          </cell>
          <cell r="G31">
            <v>5</v>
          </cell>
          <cell r="H31">
            <v>132604</v>
          </cell>
          <cell r="I31">
            <v>132604</v>
          </cell>
        </row>
        <row r="32">
          <cell r="B32" t="str">
            <v>M203.0025</v>
          </cell>
          <cell r="C32" t="str">
            <v>Mê gôm mét; Máy đo tỉ số biến; Kìm kẹp dòng; Ampe kìm DC</v>
          </cell>
          <cell r="D32">
            <v>220</v>
          </cell>
          <cell r="E32">
            <v>10</v>
          </cell>
          <cell r="F32">
            <v>3.5</v>
          </cell>
          <cell r="G32">
            <v>5</v>
          </cell>
          <cell r="H32">
            <v>40128</v>
          </cell>
          <cell r="I32">
            <v>40128</v>
          </cell>
        </row>
        <row r="33">
          <cell r="B33" t="str">
            <v>M203.0026</v>
          </cell>
          <cell r="C33" t="str">
            <v>Thiết bị kiểm tra áp lực</v>
          </cell>
          <cell r="D33">
            <v>220</v>
          </cell>
          <cell r="E33">
            <v>10</v>
          </cell>
          <cell r="F33">
            <v>3.5</v>
          </cell>
          <cell r="G33">
            <v>5</v>
          </cell>
          <cell r="H33">
            <v>68673</v>
          </cell>
          <cell r="I33">
            <v>68673</v>
          </cell>
        </row>
        <row r="34">
          <cell r="B34" t="str">
            <v>M203.0027</v>
          </cell>
          <cell r="C34" t="str">
            <v>Thiết bị tạo dòng</v>
          </cell>
          <cell r="D34">
            <v>220</v>
          </cell>
          <cell r="E34">
            <v>10</v>
          </cell>
          <cell r="F34">
            <v>3.5</v>
          </cell>
          <cell r="G34">
            <v>5</v>
          </cell>
          <cell r="H34">
            <v>397538</v>
          </cell>
          <cell r="I34">
            <v>397538</v>
          </cell>
        </row>
        <row r="35">
          <cell r="B35" t="str">
            <v>M202.0163</v>
          </cell>
          <cell r="C35" t="str">
            <v>Máy vi tính</v>
          </cell>
          <cell r="D35">
            <v>220</v>
          </cell>
          <cell r="E35">
            <v>13</v>
          </cell>
          <cell r="F35">
            <v>4</v>
          </cell>
          <cell r="G35">
            <v>4</v>
          </cell>
          <cell r="H35">
            <v>9630</v>
          </cell>
          <cell r="I35">
            <v>9630</v>
          </cell>
        </row>
        <row r="36">
          <cell r="B36" t="str">
            <v>M202.0164</v>
          </cell>
          <cell r="C36" t="str">
            <v>Máy tính xách tay; Máy tính</v>
          </cell>
          <cell r="D36">
            <v>220</v>
          </cell>
          <cell r="E36">
            <v>13</v>
          </cell>
          <cell r="F36">
            <v>3.5</v>
          </cell>
          <cell r="G36">
            <v>4</v>
          </cell>
          <cell r="H36">
            <v>17627</v>
          </cell>
          <cell r="I36">
            <v>17627</v>
          </cell>
        </row>
        <row r="37">
          <cell r="B37" t="str">
            <v>M102.1902</v>
          </cell>
          <cell r="C37" t="str">
            <v>Xe thang nâng người dạng khớp gập, chiều cao nâng 12 mét, tải trọng nâng ≤ 300 kg</v>
          </cell>
          <cell r="H37">
            <v>2138855</v>
          </cell>
          <cell r="I37">
            <v>2119173</v>
          </cell>
        </row>
        <row r="38">
          <cell r="B38" t="str">
            <v>M102.1903</v>
          </cell>
          <cell r="C38" t="str">
            <v>Xe thang nâng người dạng khớp gập, chiều cao nâng 18 mét, tải trọng nâng ≤ 300 kg</v>
          </cell>
          <cell r="H38">
            <v>2439765</v>
          </cell>
          <cell r="I38">
            <v>2420083</v>
          </cell>
        </row>
      </sheetData>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3"/>
  </sheetPr>
  <dimension ref="A1:M185"/>
  <sheetViews>
    <sheetView topLeftCell="A55" zoomScale="85" zoomScaleNormal="85" zoomScalePageLayoutView="70" workbookViewId="0">
      <selection activeCell="M52" sqref="M52"/>
    </sheetView>
  </sheetViews>
  <sheetFormatPr defaultColWidth="12" defaultRowHeight="18.75"/>
  <cols>
    <col min="1" max="1" width="2.83203125" style="12" customWidth="1"/>
    <col min="2" max="2" width="8" style="12" customWidth="1"/>
    <col min="3" max="3" width="5.5" style="12" customWidth="1"/>
    <col min="4" max="4" width="22.1640625" style="12" customWidth="1"/>
    <col min="5" max="5" width="16" style="12" customWidth="1"/>
    <col min="6" max="6" width="19.6640625" style="12" customWidth="1"/>
    <col min="7" max="7" width="15.5" style="12" customWidth="1"/>
    <col min="8" max="8" width="11" style="12" customWidth="1"/>
    <col min="9" max="9" width="2.6640625" style="12" customWidth="1"/>
    <col min="10" max="10" width="15.5" style="12" customWidth="1"/>
    <col min="11" max="12" width="12" style="12"/>
    <col min="13" max="13" width="28.1640625" style="12" customWidth="1"/>
    <col min="14" max="16384" width="12" style="12"/>
  </cols>
  <sheetData>
    <row r="1" spans="1:9" s="10" customFormat="1" ht="30" customHeight="1">
      <c r="A1" s="9"/>
      <c r="I1" s="11"/>
    </row>
    <row r="2" spans="1:9" s="23" customFormat="1" ht="30" customHeight="1">
      <c r="A2" s="945" t="s">
        <v>581</v>
      </c>
      <c r="B2" s="946"/>
      <c r="C2" s="946"/>
      <c r="D2" s="946"/>
      <c r="E2" s="946"/>
      <c r="F2" s="946"/>
      <c r="G2" s="946"/>
      <c r="H2" s="946"/>
      <c r="I2" s="947"/>
    </row>
    <row r="3" spans="1:9" s="23" customFormat="1" ht="30" customHeight="1">
      <c r="A3" s="948" t="s">
        <v>1142</v>
      </c>
      <c r="B3" s="949"/>
      <c r="C3" s="949"/>
      <c r="D3" s="949"/>
      <c r="E3" s="949"/>
      <c r="F3" s="949"/>
      <c r="G3" s="949"/>
      <c r="H3" s="949"/>
      <c r="I3" s="950"/>
    </row>
    <row r="4" spans="1:9" s="23" customFormat="1" ht="30" customHeight="1" thickBot="1">
      <c r="A4" s="188"/>
      <c r="B4" s="189"/>
      <c r="C4" s="189"/>
      <c r="D4" s="189"/>
      <c r="E4" s="189"/>
      <c r="F4" s="189"/>
      <c r="G4" s="189"/>
      <c r="H4" s="189"/>
      <c r="I4" s="190"/>
    </row>
    <row r="5" spans="1:9" s="23" customFormat="1" ht="15.75">
      <c r="A5" s="22"/>
      <c r="I5" s="25"/>
    </row>
    <row r="6" spans="1:9" s="23" customFormat="1" ht="26.25" customHeight="1">
      <c r="A6" s="951" t="s">
        <v>582</v>
      </c>
      <c r="B6" s="952"/>
      <c r="C6" s="952"/>
      <c r="D6" s="952"/>
      <c r="E6" s="952"/>
      <c r="F6" s="952"/>
      <c r="G6" s="952"/>
      <c r="H6" s="952"/>
      <c r="I6" s="953"/>
    </row>
    <row r="7" spans="1:9" s="23" customFormat="1" ht="54" customHeight="1">
      <c r="A7" s="964" t="s">
        <v>494</v>
      </c>
      <c r="B7" s="958"/>
      <c r="C7" s="958"/>
      <c r="D7" s="958"/>
      <c r="E7" s="958"/>
      <c r="F7" s="958"/>
      <c r="G7" s="958"/>
      <c r="H7" s="958"/>
      <c r="I7" s="25"/>
    </row>
    <row r="8" spans="1:9" s="23" customFormat="1" ht="39.75" customHeight="1">
      <c r="A8" s="22"/>
      <c r="E8" s="180"/>
      <c r="I8" s="25"/>
    </row>
    <row r="9" spans="1:9" s="23" customFormat="1" ht="30" customHeight="1">
      <c r="A9" s="954" t="s">
        <v>256</v>
      </c>
      <c r="B9" s="955"/>
      <c r="C9" s="955"/>
      <c r="D9" s="955"/>
      <c r="E9" s="955"/>
      <c r="F9" s="955"/>
      <c r="G9" s="955"/>
      <c r="H9" s="955"/>
      <c r="I9" s="956"/>
    </row>
    <row r="10" spans="1:9" s="23" customFormat="1" ht="30" customHeight="1">
      <c r="A10" s="954" t="s">
        <v>583</v>
      </c>
      <c r="B10" s="955"/>
      <c r="C10" s="955"/>
      <c r="D10" s="955"/>
      <c r="E10" s="955"/>
      <c r="F10" s="955"/>
      <c r="G10" s="955"/>
      <c r="H10" s="955"/>
      <c r="I10" s="956"/>
    </row>
    <row r="11" spans="1:9" s="23" customFormat="1" ht="44.45" customHeight="1">
      <c r="A11" s="319"/>
      <c r="B11" s="320"/>
      <c r="C11" s="320"/>
      <c r="D11" s="320"/>
      <c r="E11" s="320"/>
      <c r="F11" s="320"/>
      <c r="G11" s="320"/>
      <c r="H11" s="320"/>
      <c r="I11" s="321"/>
    </row>
    <row r="12" spans="1:9" s="23" customFormat="1" ht="19.5">
      <c r="A12" s="22"/>
      <c r="E12" s="24"/>
      <c r="I12" s="25"/>
    </row>
    <row r="13" spans="1:9" s="23" customFormat="1">
      <c r="A13" s="22"/>
      <c r="E13" s="3" t="s">
        <v>17</v>
      </c>
      <c r="F13" s="26"/>
      <c r="I13" s="25"/>
    </row>
    <row r="14" spans="1:9" s="23" customFormat="1">
      <c r="A14" s="22"/>
      <c r="E14" s="3"/>
      <c r="F14" s="26"/>
      <c r="I14" s="25"/>
    </row>
    <row r="15" spans="1:9" s="23" customFormat="1">
      <c r="A15" s="957" t="s">
        <v>1027</v>
      </c>
      <c r="B15" s="958"/>
      <c r="C15" s="958"/>
      <c r="D15" s="958"/>
      <c r="E15" s="958"/>
      <c r="F15" s="958"/>
      <c r="G15" s="958"/>
      <c r="H15" s="958"/>
      <c r="I15" s="959"/>
    </row>
    <row r="16" spans="1:9" s="23" customFormat="1">
      <c r="A16" s="957" t="s">
        <v>1028</v>
      </c>
      <c r="B16" s="958"/>
      <c r="C16" s="958"/>
      <c r="D16" s="958"/>
      <c r="E16" s="958"/>
      <c r="F16" s="958"/>
      <c r="G16" s="958"/>
      <c r="H16" s="958"/>
      <c r="I16" s="959"/>
    </row>
    <row r="17" spans="1:10" s="23" customFormat="1">
      <c r="A17" s="316"/>
      <c r="B17" s="317"/>
      <c r="C17" s="317"/>
      <c r="D17" s="317"/>
      <c r="E17" s="317"/>
      <c r="F17" s="317"/>
      <c r="G17" s="317"/>
      <c r="H17" s="317"/>
      <c r="I17" s="318"/>
    </row>
    <row r="18" spans="1:10" s="23" customFormat="1" ht="66" customHeight="1">
      <c r="A18" s="960"/>
      <c r="B18" s="961"/>
      <c r="C18" s="961"/>
      <c r="D18" s="961"/>
      <c r="E18" s="961"/>
      <c r="F18" s="961"/>
      <c r="G18" s="961"/>
      <c r="H18" s="961"/>
      <c r="I18" s="962"/>
    </row>
    <row r="19" spans="1:10" s="23" customFormat="1" ht="35.450000000000003" hidden="1" customHeight="1">
      <c r="A19" s="22"/>
      <c r="C19" s="187"/>
      <c r="D19" s="191"/>
      <c r="E19" s="27"/>
      <c r="F19" s="192"/>
      <c r="G19" s="27"/>
      <c r="H19" s="185"/>
      <c r="I19" s="25"/>
      <c r="J19" s="185"/>
    </row>
    <row r="20" spans="1:10" s="23" customFormat="1" ht="15.75">
      <c r="A20" s="22"/>
      <c r="C20" s="187"/>
      <c r="D20" s="193"/>
      <c r="E20" s="27"/>
      <c r="F20" s="27"/>
      <c r="G20" s="27"/>
      <c r="I20" s="25"/>
    </row>
    <row r="21" spans="1:10" s="23" customFormat="1" ht="15.75">
      <c r="A21" s="22"/>
      <c r="C21" s="187"/>
      <c r="D21" s="193"/>
      <c r="E21" s="27"/>
      <c r="F21" s="27"/>
      <c r="G21" s="27"/>
      <c r="I21" s="25"/>
    </row>
    <row r="22" spans="1:10" s="23" customFormat="1" ht="15.75">
      <c r="A22" s="22"/>
      <c r="C22" s="187"/>
      <c r="D22" s="193"/>
      <c r="E22" s="27"/>
      <c r="F22" s="27"/>
      <c r="G22" s="27"/>
      <c r="I22" s="25"/>
    </row>
    <row r="23" spans="1:10" s="23" customFormat="1" ht="16.5">
      <c r="A23" s="22"/>
      <c r="D23" s="194"/>
      <c r="E23" s="27"/>
      <c r="F23" s="192"/>
      <c r="G23" s="27"/>
      <c r="I23" s="25"/>
    </row>
    <row r="24" spans="1:10" s="23" customFormat="1" ht="25.5" customHeight="1">
      <c r="A24" s="22"/>
      <c r="D24" s="187"/>
      <c r="I24" s="25"/>
    </row>
    <row r="25" spans="1:10" s="23" customFormat="1" ht="25.5" customHeight="1">
      <c r="A25" s="22"/>
      <c r="D25" s="187"/>
      <c r="I25" s="25"/>
    </row>
    <row r="26" spans="1:10" s="23" customFormat="1" ht="16.5">
      <c r="A26" s="22"/>
      <c r="C26" s="155"/>
      <c r="F26" s="963"/>
      <c r="G26" s="963"/>
      <c r="H26" s="963"/>
      <c r="I26" s="25"/>
    </row>
    <row r="27" spans="1:10" s="23" customFormat="1" ht="15.75">
      <c r="A27" s="22"/>
      <c r="I27" s="25"/>
    </row>
    <row r="28" spans="1:10" s="23" customFormat="1" ht="15.75">
      <c r="A28" s="22"/>
      <c r="C28" s="179"/>
      <c r="I28" s="25"/>
    </row>
    <row r="29" spans="1:10" s="23" customFormat="1" ht="15.75">
      <c r="A29" s="22"/>
      <c r="C29" s="179"/>
      <c r="I29" s="25"/>
    </row>
    <row r="30" spans="1:10" s="23" customFormat="1" ht="15" customHeight="1">
      <c r="A30" s="22"/>
      <c r="C30" s="179"/>
      <c r="D30" s="155"/>
      <c r="I30" s="25"/>
    </row>
    <row r="31" spans="1:10" s="23" customFormat="1" ht="32.25" customHeight="1">
      <c r="A31" s="942" t="s">
        <v>1030</v>
      </c>
      <c r="B31" s="943"/>
      <c r="C31" s="943"/>
      <c r="D31" s="943"/>
      <c r="E31" s="943"/>
      <c r="F31" s="943"/>
      <c r="G31" s="943"/>
      <c r="H31" s="943"/>
      <c r="I31" s="944"/>
    </row>
    <row r="32" spans="1:10" ht="18.75" customHeight="1" thickBot="1">
      <c r="A32" s="13"/>
      <c r="B32" s="14"/>
      <c r="C32" s="14"/>
      <c r="D32" s="14"/>
      <c r="E32" s="14"/>
      <c r="F32" s="14"/>
      <c r="G32" s="14"/>
      <c r="H32" s="14"/>
      <c r="I32" s="15"/>
    </row>
    <row r="33" spans="1:9" s="10" customFormat="1" ht="30" customHeight="1">
      <c r="A33" s="9"/>
      <c r="I33" s="11"/>
    </row>
    <row r="34" spans="1:9" s="23" customFormat="1" ht="30" customHeight="1">
      <c r="A34" s="945" t="s">
        <v>581</v>
      </c>
      <c r="B34" s="946"/>
      <c r="C34" s="946"/>
      <c r="D34" s="946"/>
      <c r="E34" s="946"/>
      <c r="F34" s="946"/>
      <c r="G34" s="946"/>
      <c r="H34" s="946"/>
      <c r="I34" s="947"/>
    </row>
    <row r="35" spans="1:9" s="23" customFormat="1" ht="30" customHeight="1">
      <c r="A35" s="948" t="s">
        <v>1143</v>
      </c>
      <c r="B35" s="949"/>
      <c r="C35" s="949"/>
      <c r="D35" s="949"/>
      <c r="E35" s="949"/>
      <c r="F35" s="949"/>
      <c r="G35" s="949"/>
      <c r="H35" s="949"/>
      <c r="I35" s="950"/>
    </row>
    <row r="36" spans="1:9" s="23" customFormat="1" ht="15" customHeight="1">
      <c r="A36" s="22"/>
      <c r="G36" s="23" t="s">
        <v>29</v>
      </c>
      <c r="I36" s="25"/>
    </row>
    <row r="37" spans="1:9" s="23" customFormat="1" ht="15.75">
      <c r="A37" s="176"/>
      <c r="B37" s="177"/>
      <c r="C37" s="177"/>
      <c r="D37" s="177"/>
      <c r="E37" s="177"/>
      <c r="F37" s="177"/>
      <c r="G37" s="177"/>
      <c r="H37" s="177"/>
      <c r="I37" s="178"/>
    </row>
    <row r="38" spans="1:9" s="23" customFormat="1" ht="18.75" customHeight="1">
      <c r="A38" s="951" t="s">
        <v>582</v>
      </c>
      <c r="B38" s="952"/>
      <c r="C38" s="952"/>
      <c r="D38" s="952"/>
      <c r="E38" s="952"/>
      <c r="F38" s="952"/>
      <c r="G38" s="952"/>
      <c r="H38" s="952"/>
      <c r="I38" s="953"/>
    </row>
    <row r="39" spans="1:9" s="23" customFormat="1" ht="15.75">
      <c r="A39" s="22"/>
      <c r="E39" s="179"/>
      <c r="I39" s="25"/>
    </row>
    <row r="40" spans="1:9" s="23" customFormat="1" ht="28.15" customHeight="1">
      <c r="A40" s="22"/>
      <c r="E40" s="179"/>
      <c r="I40" s="25"/>
    </row>
    <row r="41" spans="1:9" s="23" customFormat="1" ht="15.75">
      <c r="A41" s="22"/>
      <c r="E41" s="180"/>
      <c r="I41" s="25"/>
    </row>
    <row r="42" spans="1:9" s="23" customFormat="1" ht="30" customHeight="1">
      <c r="A42" s="954" t="str">
        <f>A9</f>
        <v>PHƯƠNG ÁN KỸ THUẬT - DỰ TOÁN</v>
      </c>
      <c r="B42" s="955"/>
      <c r="C42" s="955"/>
      <c r="D42" s="955"/>
      <c r="E42" s="955"/>
      <c r="F42" s="955"/>
      <c r="G42" s="955"/>
      <c r="H42" s="955"/>
      <c r="I42" s="956"/>
    </row>
    <row r="43" spans="1:9" s="23" customFormat="1" ht="30" customHeight="1">
      <c r="A43" s="965" t="str">
        <f>A10</f>
        <v>SỬA CHỮA LỚN NĂM 2026</v>
      </c>
      <c r="B43" s="966"/>
      <c r="C43" s="966"/>
      <c r="D43" s="966"/>
      <c r="E43" s="966"/>
      <c r="F43" s="966"/>
      <c r="G43" s="966"/>
      <c r="H43" s="966"/>
      <c r="I43" s="967"/>
    </row>
    <row r="44" spans="1:9" s="23" customFormat="1" ht="25.9" customHeight="1">
      <c r="A44" s="22"/>
      <c r="E44" s="24"/>
      <c r="I44" s="25"/>
    </row>
    <row r="45" spans="1:9" s="23" customFormat="1" ht="38.450000000000003" customHeight="1">
      <c r="A45" s="979" t="s">
        <v>18</v>
      </c>
      <c r="B45" s="980"/>
      <c r="C45" s="980"/>
      <c r="D45" s="980"/>
      <c r="E45" s="980"/>
      <c r="F45" s="980"/>
      <c r="G45" s="980"/>
      <c r="H45" s="980"/>
      <c r="I45" s="981"/>
    </row>
    <row r="46" spans="1:9" s="23" customFormat="1" ht="25.5" customHeight="1">
      <c r="A46" s="970" t="str">
        <f>A15</f>
        <v>CÔNG TRÌNH: SỬA CHỮA LƯỚI ĐIỆN THA</v>
      </c>
      <c r="B46" s="971"/>
      <c r="C46" s="971"/>
      <c r="D46" s="971"/>
      <c r="E46" s="971"/>
      <c r="F46" s="971"/>
      <c r="G46" s="971"/>
      <c r="H46" s="971"/>
      <c r="I46" s="972"/>
    </row>
    <row r="47" spans="1:9" s="23" customFormat="1" ht="31.5" customHeight="1">
      <c r="A47" s="973" t="str">
        <f>A16</f>
        <v xml:space="preserve"> KHU VỰC ĐỘI QLĐ THUẬN BẮC (ĐỢT 2 NĂM 2026)</v>
      </c>
      <c r="B47" s="974"/>
      <c r="C47" s="974"/>
      <c r="D47" s="974"/>
      <c r="E47" s="974"/>
      <c r="F47" s="974"/>
      <c r="G47" s="974"/>
      <c r="H47" s="974"/>
      <c r="I47" s="975"/>
    </row>
    <row r="48" spans="1:9" s="23" customFormat="1" ht="43.15" customHeight="1">
      <c r="A48" s="957" t="s">
        <v>494</v>
      </c>
      <c r="B48" s="976"/>
      <c r="C48" s="976"/>
      <c r="D48" s="976"/>
      <c r="E48" s="976"/>
      <c r="F48" s="976"/>
      <c r="G48" s="976"/>
      <c r="H48" s="976"/>
      <c r="I48" s="977"/>
    </row>
    <row r="49" spans="1:13" s="182" customFormat="1" ht="34.5" customHeight="1">
      <c r="A49" s="181"/>
      <c r="D49" s="156"/>
      <c r="E49" s="157"/>
      <c r="F49" s="29"/>
      <c r="G49" s="30"/>
      <c r="I49" s="183"/>
      <c r="J49" s="184"/>
      <c r="M49" s="112"/>
    </row>
    <row r="50" spans="1:13" s="182" customFormat="1" ht="36" hidden="1" customHeight="1">
      <c r="A50" s="181"/>
      <c r="D50" s="156"/>
      <c r="E50" s="157"/>
      <c r="F50" s="29"/>
      <c r="G50" s="30"/>
      <c r="I50" s="183"/>
      <c r="J50" s="184"/>
    </row>
    <row r="51" spans="1:13" s="23" customFormat="1" ht="36" hidden="1" customHeight="1">
      <c r="A51" s="22"/>
      <c r="D51" s="27"/>
      <c r="E51" s="27"/>
      <c r="F51" s="27"/>
      <c r="G51" s="27"/>
      <c r="I51" s="25"/>
    </row>
    <row r="52" spans="1:13" s="23" customFormat="1" ht="36.6" customHeight="1">
      <c r="A52" s="22"/>
      <c r="D52" s="315" t="s">
        <v>642</v>
      </c>
      <c r="E52" s="978" t="s">
        <v>264</v>
      </c>
      <c r="F52" s="978"/>
      <c r="G52" s="28"/>
      <c r="I52" s="25"/>
      <c r="M52" s="185"/>
    </row>
    <row r="53" spans="1:13" s="23" customFormat="1" ht="36.6" customHeight="1">
      <c r="A53" s="22"/>
      <c r="D53" s="315" t="s">
        <v>15</v>
      </c>
      <c r="E53" s="978" t="s">
        <v>273</v>
      </c>
      <c r="F53" s="978"/>
      <c r="G53" s="186"/>
      <c r="I53" s="25"/>
    </row>
    <row r="54" spans="1:13" s="23" customFormat="1" ht="15.75">
      <c r="A54" s="22"/>
      <c r="D54" s="187"/>
      <c r="I54" s="25"/>
    </row>
    <row r="55" spans="1:13" s="23" customFormat="1" ht="15.75">
      <c r="A55" s="22"/>
      <c r="D55" s="187"/>
      <c r="I55" s="25"/>
    </row>
    <row r="56" spans="1:13" s="23" customFormat="1" ht="15.75">
      <c r="A56" s="22"/>
      <c r="D56" s="187"/>
      <c r="I56" s="25"/>
    </row>
    <row r="57" spans="1:13" s="23" customFormat="1" ht="15.75">
      <c r="A57" s="22"/>
      <c r="D57" s="187"/>
      <c r="I57" s="25"/>
    </row>
    <row r="58" spans="1:13" s="23" customFormat="1" ht="26.45" customHeight="1">
      <c r="A58" s="22"/>
      <c r="E58" s="968" t="s">
        <v>1029</v>
      </c>
      <c r="F58" s="968"/>
      <c r="G58" s="968"/>
      <c r="H58" s="968"/>
      <c r="I58" s="25"/>
    </row>
    <row r="59" spans="1:13" s="23" customFormat="1" ht="16.5">
      <c r="A59" s="22"/>
      <c r="C59" s="155"/>
      <c r="E59" s="969" t="s">
        <v>1144</v>
      </c>
      <c r="F59" s="969"/>
      <c r="G59" s="969"/>
      <c r="H59" s="969"/>
      <c r="I59" s="25"/>
    </row>
    <row r="60" spans="1:13" s="23" customFormat="1" ht="16.5">
      <c r="A60" s="22"/>
      <c r="E60" s="969" t="s">
        <v>1145</v>
      </c>
      <c r="F60" s="969"/>
      <c r="G60" s="969"/>
      <c r="H60" s="969"/>
      <c r="I60" s="25"/>
    </row>
    <row r="61" spans="1:13" s="23" customFormat="1" ht="16.5">
      <c r="A61" s="22"/>
      <c r="E61" s="155"/>
      <c r="F61" s="155"/>
      <c r="G61" s="155"/>
      <c r="H61" s="155"/>
      <c r="I61" s="25"/>
    </row>
    <row r="62" spans="1:13" s="23" customFormat="1" ht="16.5">
      <c r="A62" s="22"/>
      <c r="E62" s="155"/>
      <c r="F62" s="155"/>
      <c r="G62" s="155"/>
      <c r="H62" s="155"/>
      <c r="I62" s="25"/>
    </row>
    <row r="63" spans="1:13" s="23" customFormat="1" ht="16.5">
      <c r="A63" s="22"/>
      <c r="E63" s="155"/>
      <c r="F63" s="155"/>
      <c r="G63" s="155"/>
      <c r="H63" s="155"/>
      <c r="I63" s="25"/>
    </row>
    <row r="64" spans="1:13" s="23" customFormat="1" ht="15.75">
      <c r="A64" s="22"/>
      <c r="C64" s="179"/>
      <c r="I64" s="25"/>
    </row>
    <row r="65" spans="1:9" s="23" customFormat="1" ht="15.75">
      <c r="A65" s="22"/>
      <c r="C65" s="179"/>
      <c r="I65" s="25"/>
    </row>
    <row r="66" spans="1:9" s="23" customFormat="1" ht="15.75">
      <c r="A66" s="22"/>
      <c r="I66" s="25"/>
    </row>
    <row r="67" spans="1:9" s="23" customFormat="1" ht="16.5">
      <c r="A67" s="22"/>
      <c r="E67" s="969" t="s">
        <v>265</v>
      </c>
      <c r="F67" s="969"/>
      <c r="G67" s="969"/>
      <c r="H67" s="969"/>
      <c r="I67" s="25"/>
    </row>
    <row r="68" spans="1:9" ht="19.5" thickBot="1">
      <c r="A68" s="13"/>
      <c r="B68" s="14"/>
      <c r="C68" s="14"/>
      <c r="D68" s="14"/>
      <c r="E68" s="14"/>
      <c r="F68" s="14"/>
      <c r="G68" s="14"/>
      <c r="H68" s="14"/>
      <c r="I68" s="15"/>
    </row>
    <row r="70" spans="1:9" ht="18.75" customHeight="1"/>
    <row r="106" ht="15" customHeight="1"/>
    <row r="107" ht="18.75" customHeight="1"/>
    <row r="111" ht="31.5" customHeight="1"/>
    <row r="112" ht="14.25" customHeight="1"/>
    <row r="122" ht="26.25" customHeight="1"/>
    <row r="178" spans="3:5" ht="20.25">
      <c r="C178" s="17"/>
    </row>
    <row r="179" spans="3:5" ht="20.25">
      <c r="C179" s="17"/>
    </row>
    <row r="180" spans="3:5">
      <c r="C180" s="16"/>
    </row>
    <row r="181" spans="3:5">
      <c r="C181" s="16"/>
    </row>
    <row r="182" spans="3:5">
      <c r="E182" s="16"/>
    </row>
    <row r="184" spans="3:5" ht="20.25">
      <c r="E184" s="17"/>
    </row>
    <row r="185" spans="3:5" ht="20.25">
      <c r="E185" s="18"/>
    </row>
  </sheetData>
  <mergeCells count="26">
    <mergeCell ref="A43:I43"/>
    <mergeCell ref="E58:H58"/>
    <mergeCell ref="E59:H59"/>
    <mergeCell ref="E60:H60"/>
    <mergeCell ref="E67:H67"/>
    <mergeCell ref="A46:I46"/>
    <mergeCell ref="A47:I47"/>
    <mergeCell ref="A48:I48"/>
    <mergeCell ref="E52:F52"/>
    <mergeCell ref="E53:F53"/>
    <mergeCell ref="A45:I45"/>
    <mergeCell ref="A2:I2"/>
    <mergeCell ref="A3:I3"/>
    <mergeCell ref="A6:I6"/>
    <mergeCell ref="A7:H7"/>
    <mergeCell ref="A9:I9"/>
    <mergeCell ref="A10:I10"/>
    <mergeCell ref="A15:I15"/>
    <mergeCell ref="A16:I16"/>
    <mergeCell ref="A18:I18"/>
    <mergeCell ref="F26:H26"/>
    <mergeCell ref="A31:I31"/>
    <mergeCell ref="A34:I34"/>
    <mergeCell ref="A35:I35"/>
    <mergeCell ref="A38:I38"/>
    <mergeCell ref="A42:I42"/>
  </mergeCells>
  <dataValidations count="1">
    <dataValidation allowBlank="1" showInputMessage="1" showErrorMessage="1" prompt="He so: 1,2_x000a_CV :616" sqref="D54:D65 D24:D30" xr:uid="{00000000-0002-0000-0000-000000000000}"/>
  </dataValidations>
  <printOptions horizontalCentered="1" verticalCentered="1"/>
  <pageMargins left="0.62" right="0.35433070866141703" top="0.59055118110236204" bottom="0.59055118110236204" header="0.31496062992126" footer="0.31496062992126"/>
  <pageSetup paperSize="9" scale="98" firstPageNumber="6"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4DCBC-1AD2-4E87-9BFF-B90DB856FE1A}">
  <dimension ref="A1:F350"/>
  <sheetViews>
    <sheetView workbookViewId="0">
      <selection activeCell="D7" sqref="D7"/>
    </sheetView>
  </sheetViews>
  <sheetFormatPr defaultRowHeight="12.75"/>
  <cols>
    <col min="2" max="2" width="39.83203125" customWidth="1"/>
    <col min="4" max="4" width="21.5" customWidth="1"/>
    <col min="5" max="5" width="41.5" customWidth="1"/>
  </cols>
  <sheetData>
    <row r="1" spans="1:6" ht="50.45" customHeight="1">
      <c r="A1" s="643" t="s">
        <v>231</v>
      </c>
      <c r="B1" s="643" t="s">
        <v>1219</v>
      </c>
      <c r="C1" s="643" t="s">
        <v>47</v>
      </c>
      <c r="D1" s="643" t="s">
        <v>1220</v>
      </c>
      <c r="E1" s="643" t="s">
        <v>70</v>
      </c>
    </row>
    <row r="2" spans="1:6" ht="29.45" customHeight="1">
      <c r="A2" s="643" t="s">
        <v>24</v>
      </c>
      <c r="B2" s="644" t="s">
        <v>1221</v>
      </c>
      <c r="C2" s="643"/>
      <c r="D2" s="643"/>
      <c r="E2" s="654"/>
    </row>
    <row r="3" spans="1:6" ht="29.45" customHeight="1">
      <c r="A3" s="645">
        <v>1</v>
      </c>
      <c r="B3" s="646" t="s">
        <v>1222</v>
      </c>
      <c r="C3" s="647" t="s">
        <v>1223</v>
      </c>
      <c r="D3" s="713">
        <v>25900</v>
      </c>
      <c r="E3" s="655" t="s">
        <v>1224</v>
      </c>
    </row>
    <row r="4" spans="1:6" ht="29.45" customHeight="1">
      <c r="A4" s="645">
        <v>2</v>
      </c>
      <c r="B4" s="646" t="s">
        <v>1225</v>
      </c>
      <c r="C4" s="645" t="s">
        <v>99</v>
      </c>
      <c r="D4" s="713">
        <v>206600</v>
      </c>
      <c r="E4" s="655" t="s">
        <v>1226</v>
      </c>
    </row>
    <row r="5" spans="1:6" ht="29.45" customHeight="1">
      <c r="A5" s="645">
        <v>3</v>
      </c>
      <c r="B5" s="646" t="s">
        <v>1227</v>
      </c>
      <c r="C5" s="647" t="s">
        <v>1223</v>
      </c>
      <c r="D5" s="713">
        <v>291200</v>
      </c>
      <c r="E5" s="656"/>
    </row>
    <row r="6" spans="1:6" ht="29.45" customHeight="1">
      <c r="A6" s="645">
        <v>4</v>
      </c>
      <c r="B6" s="646" t="s">
        <v>1228</v>
      </c>
      <c r="C6" s="645" t="s">
        <v>99</v>
      </c>
      <c r="D6" s="713">
        <v>350200</v>
      </c>
      <c r="E6" s="656"/>
    </row>
    <row r="7" spans="1:6" ht="29.45" customHeight="1">
      <c r="A7" s="645">
        <v>5</v>
      </c>
      <c r="B7" s="646" t="s">
        <v>1229</v>
      </c>
      <c r="C7" s="647" t="s">
        <v>1223</v>
      </c>
      <c r="D7" s="713">
        <v>434490</v>
      </c>
      <c r="E7" s="656"/>
    </row>
    <row r="8" spans="1:6" ht="29.45" customHeight="1">
      <c r="A8" s="645">
        <v>6</v>
      </c>
      <c r="B8" s="646" t="s">
        <v>1230</v>
      </c>
      <c r="C8" s="645" t="s">
        <v>99</v>
      </c>
      <c r="D8" s="648">
        <v>1141300</v>
      </c>
      <c r="E8" s="656"/>
    </row>
    <row r="9" spans="1:6" ht="29.45" customHeight="1">
      <c r="A9" s="645">
        <v>7</v>
      </c>
      <c r="B9" s="646" t="s">
        <v>1231</v>
      </c>
      <c r="C9" s="647" t="s">
        <v>99</v>
      </c>
      <c r="D9" s="648">
        <v>331750</v>
      </c>
      <c r="E9" s="656"/>
    </row>
    <row r="10" spans="1:6" s="665" customFormat="1" ht="29.45" customHeight="1">
      <c r="A10" s="662">
        <v>8</v>
      </c>
      <c r="B10" s="661" t="s">
        <v>1232</v>
      </c>
      <c r="C10" s="662" t="s">
        <v>1223</v>
      </c>
      <c r="D10" s="712">
        <v>25900</v>
      </c>
      <c r="E10" s="668"/>
      <c r="F10" s="665" t="s">
        <v>1543</v>
      </c>
    </row>
    <row r="11" spans="1:6" ht="29.45" customHeight="1">
      <c r="A11" s="645">
        <v>9</v>
      </c>
      <c r="B11" s="646" t="s">
        <v>1233</v>
      </c>
      <c r="C11" s="647" t="s">
        <v>1223</v>
      </c>
      <c r="D11" s="648">
        <v>202050</v>
      </c>
      <c r="E11" s="656"/>
    </row>
    <row r="12" spans="1:6" ht="29.45" customHeight="1">
      <c r="A12" s="645">
        <v>10</v>
      </c>
      <c r="B12" s="646" t="s">
        <v>1234</v>
      </c>
      <c r="C12" s="647" t="s">
        <v>1223</v>
      </c>
      <c r="D12" s="648">
        <v>119900</v>
      </c>
      <c r="E12" s="656"/>
    </row>
    <row r="13" spans="1:6" ht="29.45" customHeight="1">
      <c r="A13" s="645">
        <v>11</v>
      </c>
      <c r="B13" s="646" t="s">
        <v>1235</v>
      </c>
      <c r="C13" s="647" t="s">
        <v>99</v>
      </c>
      <c r="D13" s="648">
        <v>213000</v>
      </c>
      <c r="E13" s="656"/>
    </row>
    <row r="14" spans="1:6" s="665" customFormat="1" ht="29.45" customHeight="1">
      <c r="A14" s="662">
        <v>12</v>
      </c>
      <c r="B14" s="661" t="s">
        <v>962</v>
      </c>
      <c r="C14" s="662" t="s">
        <v>99</v>
      </c>
      <c r="D14" s="663">
        <v>592200</v>
      </c>
      <c r="E14" s="668"/>
      <c r="F14" s="665" t="s">
        <v>1543</v>
      </c>
    </row>
    <row r="15" spans="1:6" ht="29.45" customHeight="1">
      <c r="A15" s="645">
        <v>13</v>
      </c>
      <c r="B15" s="646" t="s">
        <v>1236</v>
      </c>
      <c r="C15" s="647" t="s">
        <v>99</v>
      </c>
      <c r="D15" s="648">
        <v>119900</v>
      </c>
      <c r="E15" s="656"/>
    </row>
    <row r="16" spans="1:6" s="665" customFormat="1" ht="29.45" customHeight="1">
      <c r="A16" s="662">
        <v>14</v>
      </c>
      <c r="B16" s="661" t="s">
        <v>1237</v>
      </c>
      <c r="C16" s="660" t="s">
        <v>89</v>
      </c>
      <c r="D16" s="663">
        <v>365300</v>
      </c>
      <c r="E16" s="668"/>
      <c r="F16" s="665" t="s">
        <v>1543</v>
      </c>
    </row>
    <row r="17" spans="1:6" ht="29.45" customHeight="1">
      <c r="A17" s="645">
        <v>15</v>
      </c>
      <c r="B17" s="646" t="s">
        <v>1238</v>
      </c>
      <c r="C17" s="645" t="s">
        <v>89</v>
      </c>
      <c r="D17" s="648">
        <v>300000</v>
      </c>
      <c r="E17" s="656"/>
    </row>
    <row r="18" spans="1:6" ht="29.45" customHeight="1">
      <c r="A18" s="645">
        <v>16</v>
      </c>
      <c r="B18" s="649" t="s">
        <v>1239</v>
      </c>
      <c r="C18" s="645" t="s">
        <v>89</v>
      </c>
      <c r="D18" s="648">
        <v>38000</v>
      </c>
      <c r="E18" s="656"/>
    </row>
    <row r="19" spans="1:6" ht="29.45" customHeight="1">
      <c r="A19" s="645">
        <v>17</v>
      </c>
      <c r="B19" s="646" t="s">
        <v>1240</v>
      </c>
      <c r="C19" s="647" t="s">
        <v>99</v>
      </c>
      <c r="D19" s="648">
        <v>43900</v>
      </c>
      <c r="E19" s="656"/>
    </row>
    <row r="20" spans="1:6" ht="29.45" customHeight="1">
      <c r="A20" s="645">
        <v>18</v>
      </c>
      <c r="B20" s="646" t="s">
        <v>1241</v>
      </c>
      <c r="C20" s="647" t="s">
        <v>99</v>
      </c>
      <c r="D20" s="648">
        <v>36850</v>
      </c>
      <c r="E20" s="656"/>
    </row>
    <row r="21" spans="1:6" ht="29.45" customHeight="1">
      <c r="A21" s="645">
        <v>19</v>
      </c>
      <c r="B21" s="649" t="s">
        <v>1242</v>
      </c>
      <c r="C21" s="645" t="s">
        <v>99</v>
      </c>
      <c r="D21" s="648">
        <v>78700</v>
      </c>
      <c r="E21" s="656"/>
    </row>
    <row r="22" spans="1:6" s="665" customFormat="1" ht="29.45" customHeight="1">
      <c r="A22" s="662">
        <v>20</v>
      </c>
      <c r="B22" s="661" t="s">
        <v>1243</v>
      </c>
      <c r="C22" s="662" t="s">
        <v>99</v>
      </c>
      <c r="D22" s="712">
        <v>37000</v>
      </c>
      <c r="E22" s="668"/>
      <c r="F22" s="665" t="s">
        <v>1543</v>
      </c>
    </row>
    <row r="23" spans="1:6" s="665" customFormat="1" ht="29.45" customHeight="1">
      <c r="A23" s="662">
        <v>21</v>
      </c>
      <c r="B23" s="661" t="s">
        <v>1244</v>
      </c>
      <c r="C23" s="662" t="s">
        <v>99</v>
      </c>
      <c r="D23" s="712">
        <v>79300</v>
      </c>
      <c r="E23" s="668"/>
      <c r="F23" s="665" t="s">
        <v>1543</v>
      </c>
    </row>
    <row r="24" spans="1:6" ht="29.45" customHeight="1">
      <c r="A24" s="645">
        <v>22</v>
      </c>
      <c r="B24" s="649" t="s">
        <v>1245</v>
      </c>
      <c r="C24" s="645" t="s">
        <v>99</v>
      </c>
      <c r="D24" s="648">
        <v>135639.62880000001</v>
      </c>
      <c r="E24" s="656"/>
    </row>
    <row r="25" spans="1:6" ht="29.45" customHeight="1">
      <c r="A25" s="645">
        <v>23</v>
      </c>
      <c r="B25" s="646" t="s">
        <v>1246</v>
      </c>
      <c r="C25" s="645" t="s">
        <v>99</v>
      </c>
      <c r="D25" s="713">
        <v>13000</v>
      </c>
      <c r="E25" s="656"/>
    </row>
    <row r="26" spans="1:6" ht="29.45" customHeight="1">
      <c r="A26" s="645">
        <v>24</v>
      </c>
      <c r="B26" s="646" t="s">
        <v>1247</v>
      </c>
      <c r="C26" s="645" t="s">
        <v>99</v>
      </c>
      <c r="D26" s="713">
        <v>18300</v>
      </c>
      <c r="E26" s="656"/>
    </row>
    <row r="27" spans="1:6" ht="29.45" customHeight="1">
      <c r="A27" s="645">
        <v>25</v>
      </c>
      <c r="B27" s="646" t="s">
        <v>1248</v>
      </c>
      <c r="C27" s="645" t="s">
        <v>99</v>
      </c>
      <c r="D27" s="713">
        <v>32900</v>
      </c>
      <c r="E27" s="656"/>
    </row>
    <row r="28" spans="1:6" ht="29.45" customHeight="1">
      <c r="A28" s="645">
        <v>26</v>
      </c>
      <c r="B28" s="646" t="s">
        <v>1249</v>
      </c>
      <c r="C28" s="645" t="s">
        <v>99</v>
      </c>
      <c r="D28" s="713">
        <v>40000</v>
      </c>
      <c r="E28" s="656"/>
    </row>
    <row r="29" spans="1:6" ht="29.45" customHeight="1">
      <c r="A29" s="645">
        <v>27</v>
      </c>
      <c r="B29" s="646" t="s">
        <v>1250</v>
      </c>
      <c r="C29" s="645" t="s">
        <v>99</v>
      </c>
      <c r="D29" s="648">
        <v>18241</v>
      </c>
      <c r="E29" s="656"/>
    </row>
    <row r="30" spans="1:6" ht="29.45" customHeight="1">
      <c r="A30" s="645">
        <v>28</v>
      </c>
      <c r="B30" s="646" t="s">
        <v>1251</v>
      </c>
      <c r="C30" s="645" t="s">
        <v>99</v>
      </c>
      <c r="D30" s="648">
        <v>35917.75</v>
      </c>
      <c r="E30" s="656"/>
    </row>
    <row r="31" spans="1:6" s="665" customFormat="1" ht="29.45" customHeight="1">
      <c r="A31" s="662">
        <v>29</v>
      </c>
      <c r="B31" s="661" t="s">
        <v>1252</v>
      </c>
      <c r="C31" s="645" t="s">
        <v>99</v>
      </c>
      <c r="D31" s="712">
        <v>25600</v>
      </c>
      <c r="E31" s="668"/>
      <c r="F31" s="665" t="s">
        <v>1543</v>
      </c>
    </row>
    <row r="32" spans="1:6" ht="29.45" customHeight="1">
      <c r="A32" s="645">
        <v>30</v>
      </c>
      <c r="B32" s="646" t="s">
        <v>1253</v>
      </c>
      <c r="C32" s="647" t="s">
        <v>89</v>
      </c>
      <c r="D32" s="648">
        <v>53571.360000000001</v>
      </c>
      <c r="E32" s="656"/>
    </row>
    <row r="33" spans="1:6" ht="29.45" customHeight="1">
      <c r="A33" s="645">
        <v>31</v>
      </c>
      <c r="B33" s="646" t="s">
        <v>1254</v>
      </c>
      <c r="C33" s="647" t="s">
        <v>89</v>
      </c>
      <c r="D33" s="648">
        <v>70701.539999999994</v>
      </c>
      <c r="E33" s="656"/>
    </row>
    <row r="34" spans="1:6" ht="29.45" customHeight="1">
      <c r="A34" s="650" t="s">
        <v>25</v>
      </c>
      <c r="B34" s="644" t="s">
        <v>1255</v>
      </c>
      <c r="C34" s="647"/>
      <c r="D34" s="648"/>
      <c r="E34" s="654"/>
    </row>
    <row r="35" spans="1:6" ht="29.45" customHeight="1">
      <c r="A35" s="645">
        <v>1</v>
      </c>
      <c r="B35" s="646" t="s">
        <v>1256</v>
      </c>
      <c r="C35" s="645" t="s">
        <v>90</v>
      </c>
      <c r="D35" s="648">
        <v>2009000</v>
      </c>
      <c r="E35" s="654"/>
    </row>
    <row r="36" spans="1:6" s="665" customFormat="1" ht="29.45" customHeight="1">
      <c r="A36" s="660">
        <v>2</v>
      </c>
      <c r="B36" s="661" t="s">
        <v>1257</v>
      </c>
      <c r="C36" s="660" t="s">
        <v>90</v>
      </c>
      <c r="D36" s="712">
        <v>2650000</v>
      </c>
      <c r="E36" s="664"/>
      <c r="F36" s="665" t="s">
        <v>1543</v>
      </c>
    </row>
    <row r="37" spans="1:6" ht="29.45" customHeight="1">
      <c r="A37" s="645">
        <v>3</v>
      </c>
      <c r="B37" s="646" t="s">
        <v>1258</v>
      </c>
      <c r="C37" s="645" t="s">
        <v>90</v>
      </c>
      <c r="D37" s="648">
        <v>2990000</v>
      </c>
      <c r="E37" s="654"/>
    </row>
    <row r="38" spans="1:6" ht="29.45" customHeight="1">
      <c r="A38" s="647">
        <v>4</v>
      </c>
      <c r="B38" s="646" t="s">
        <v>1259</v>
      </c>
      <c r="C38" s="647" t="s">
        <v>90</v>
      </c>
      <c r="D38" s="648">
        <v>3669000</v>
      </c>
      <c r="E38" s="654"/>
    </row>
    <row r="39" spans="1:6" s="665" customFormat="1" ht="53.25" customHeight="1">
      <c r="A39" s="662">
        <v>5</v>
      </c>
      <c r="B39" s="661" t="s">
        <v>1260</v>
      </c>
      <c r="C39" s="660" t="s">
        <v>90</v>
      </c>
      <c r="D39" s="710">
        <v>4955000</v>
      </c>
      <c r="E39" s="664"/>
      <c r="F39" s="665" t="s">
        <v>1543</v>
      </c>
    </row>
    <row r="40" spans="1:6" ht="29.45" customHeight="1">
      <c r="A40" s="647">
        <v>6</v>
      </c>
      <c r="B40" s="646" t="s">
        <v>1261</v>
      </c>
      <c r="C40" s="645" t="s">
        <v>90</v>
      </c>
      <c r="D40" s="711">
        <v>7378000</v>
      </c>
      <c r="E40" s="651"/>
    </row>
    <row r="41" spans="1:6" s="665" customFormat="1" ht="29.45" customHeight="1">
      <c r="A41" s="662">
        <v>7</v>
      </c>
      <c r="B41" s="661" t="s">
        <v>1262</v>
      </c>
      <c r="C41" s="662" t="s">
        <v>90</v>
      </c>
      <c r="D41" s="710">
        <v>7255000</v>
      </c>
      <c r="E41" s="666"/>
      <c r="F41" s="665" t="s">
        <v>1543</v>
      </c>
    </row>
    <row r="42" spans="1:6" ht="29.45" customHeight="1">
      <c r="A42" s="650" t="s">
        <v>26</v>
      </c>
      <c r="B42" s="644" t="s">
        <v>1263</v>
      </c>
      <c r="C42" s="647"/>
      <c r="D42" s="648"/>
      <c r="E42" s="651"/>
    </row>
    <row r="43" spans="1:6" s="665" customFormat="1" ht="29.45" customHeight="1">
      <c r="A43" s="660">
        <v>1</v>
      </c>
      <c r="B43" s="661" t="s">
        <v>1264</v>
      </c>
      <c r="C43" s="660" t="s">
        <v>87</v>
      </c>
      <c r="D43" s="712">
        <v>2945300</v>
      </c>
      <c r="E43" s="666"/>
      <c r="F43" s="665" t="s">
        <v>1543</v>
      </c>
    </row>
    <row r="44" spans="1:6" ht="29.45" customHeight="1">
      <c r="A44" s="645">
        <v>2</v>
      </c>
      <c r="B44" s="649" t="s">
        <v>1265</v>
      </c>
      <c r="C44" s="645" t="s">
        <v>87</v>
      </c>
      <c r="D44" s="648">
        <v>4950000</v>
      </c>
      <c r="E44" s="651"/>
    </row>
    <row r="45" spans="1:6" s="665" customFormat="1" ht="29.45" customHeight="1">
      <c r="A45" s="660">
        <v>3</v>
      </c>
      <c r="B45" s="661" t="s">
        <v>1266</v>
      </c>
      <c r="C45" s="660" t="s">
        <v>87</v>
      </c>
      <c r="D45" s="712">
        <v>3090000</v>
      </c>
      <c r="E45" s="666"/>
      <c r="F45" s="665" t="s">
        <v>1543</v>
      </c>
    </row>
    <row r="46" spans="1:6" s="665" customFormat="1" ht="29.45" customHeight="1">
      <c r="A46" s="662">
        <v>4</v>
      </c>
      <c r="B46" s="661" t="s">
        <v>1267</v>
      </c>
      <c r="C46" s="662" t="s">
        <v>86</v>
      </c>
      <c r="D46" s="712">
        <v>1123700</v>
      </c>
      <c r="E46" s="666"/>
      <c r="F46" s="665" t="s">
        <v>1543</v>
      </c>
    </row>
    <row r="47" spans="1:6" ht="29.45" customHeight="1">
      <c r="A47" s="647">
        <v>5</v>
      </c>
      <c r="B47" s="646" t="s">
        <v>1268</v>
      </c>
      <c r="C47" s="645" t="s">
        <v>87</v>
      </c>
      <c r="D47" s="648">
        <v>1527600</v>
      </c>
      <c r="E47" s="651"/>
    </row>
    <row r="48" spans="1:6" ht="29.45" customHeight="1">
      <c r="A48" s="645">
        <v>6</v>
      </c>
      <c r="B48" s="646" t="s">
        <v>1269</v>
      </c>
      <c r="C48" s="647" t="s">
        <v>87</v>
      </c>
      <c r="D48" s="648">
        <v>2106500</v>
      </c>
      <c r="E48" s="651"/>
    </row>
    <row r="49" spans="1:6" ht="29.45" customHeight="1">
      <c r="A49" s="647">
        <v>7</v>
      </c>
      <c r="B49" s="646" t="s">
        <v>1270</v>
      </c>
      <c r="C49" s="647" t="s">
        <v>86</v>
      </c>
      <c r="D49" s="648">
        <v>3750000</v>
      </c>
      <c r="E49" s="651"/>
    </row>
    <row r="50" spans="1:6" ht="29.45" customHeight="1">
      <c r="A50" s="645">
        <v>8</v>
      </c>
      <c r="B50" s="646" t="s">
        <v>1271</v>
      </c>
      <c r="C50" s="647" t="s">
        <v>86</v>
      </c>
      <c r="D50" s="648">
        <v>6500000</v>
      </c>
      <c r="E50" s="651"/>
    </row>
    <row r="51" spans="1:6" ht="29.45" customHeight="1">
      <c r="A51" s="647">
        <v>9</v>
      </c>
      <c r="B51" s="646" t="s">
        <v>1272</v>
      </c>
      <c r="C51" s="647" t="s">
        <v>86</v>
      </c>
      <c r="D51" s="648">
        <v>9500000</v>
      </c>
      <c r="E51" s="651"/>
    </row>
    <row r="52" spans="1:6" ht="29.45" customHeight="1">
      <c r="A52" s="645">
        <v>10</v>
      </c>
      <c r="B52" s="646" t="s">
        <v>1273</v>
      </c>
      <c r="C52" s="647" t="s">
        <v>1274</v>
      </c>
      <c r="D52" s="648">
        <v>6500000</v>
      </c>
      <c r="E52" s="651"/>
    </row>
    <row r="53" spans="1:6" ht="29.45" customHeight="1">
      <c r="A53" s="647">
        <v>11</v>
      </c>
      <c r="B53" s="646" t="s">
        <v>1275</v>
      </c>
      <c r="C53" s="645" t="s">
        <v>1274</v>
      </c>
      <c r="D53" s="648">
        <v>7800000</v>
      </c>
      <c r="E53" s="651"/>
    </row>
    <row r="54" spans="1:6" ht="29.45" customHeight="1">
      <c r="A54" s="645">
        <v>12</v>
      </c>
      <c r="B54" s="646" t="s">
        <v>1276</v>
      </c>
      <c r="C54" s="647" t="s">
        <v>1277</v>
      </c>
      <c r="D54" s="648">
        <v>5100000</v>
      </c>
      <c r="E54" s="651"/>
    </row>
    <row r="55" spans="1:6" ht="29.45" customHeight="1">
      <c r="A55" s="643" t="s">
        <v>28</v>
      </c>
      <c r="B55" s="644" t="s">
        <v>1278</v>
      </c>
      <c r="C55" s="643"/>
      <c r="D55" s="643"/>
      <c r="E55" s="651"/>
    </row>
    <row r="56" spans="1:6" ht="29.45" customHeight="1">
      <c r="A56" s="647">
        <v>1</v>
      </c>
      <c r="B56" s="646" t="s">
        <v>1279</v>
      </c>
      <c r="C56" s="647" t="s">
        <v>16</v>
      </c>
      <c r="D56" s="648">
        <v>577500</v>
      </c>
      <c r="E56" s="651"/>
    </row>
    <row r="57" spans="1:6" ht="29.45" customHeight="1">
      <c r="A57" s="647">
        <v>2</v>
      </c>
      <c r="B57" s="646" t="s">
        <v>1280</v>
      </c>
      <c r="C57" s="647" t="s">
        <v>16</v>
      </c>
      <c r="D57" s="648">
        <v>1344000</v>
      </c>
      <c r="E57" s="651"/>
    </row>
    <row r="58" spans="1:6" s="665" customFormat="1" ht="29.45" customHeight="1">
      <c r="A58" s="660">
        <v>3</v>
      </c>
      <c r="B58" s="671" t="s">
        <v>1281</v>
      </c>
      <c r="C58" s="662" t="s">
        <v>1282</v>
      </c>
      <c r="D58" s="712">
        <v>1095000</v>
      </c>
      <c r="E58" s="666"/>
      <c r="F58" s="665" t="s">
        <v>1543</v>
      </c>
    </row>
    <row r="59" spans="1:6" ht="29.45" customHeight="1">
      <c r="A59" s="647">
        <v>4</v>
      </c>
      <c r="B59" s="646" t="s">
        <v>1283</v>
      </c>
      <c r="C59" s="647" t="s">
        <v>16</v>
      </c>
      <c r="D59" s="648">
        <v>1837500</v>
      </c>
      <c r="E59" s="651"/>
    </row>
    <row r="60" spans="1:6" ht="29.45" customHeight="1">
      <c r="A60" s="647">
        <v>5</v>
      </c>
      <c r="B60" s="646" t="s">
        <v>1284</v>
      </c>
      <c r="C60" s="647" t="s">
        <v>16</v>
      </c>
      <c r="D60" s="648">
        <v>362000</v>
      </c>
      <c r="E60" s="651"/>
    </row>
    <row r="61" spans="1:6" ht="29.45" customHeight="1">
      <c r="A61" s="647">
        <v>6</v>
      </c>
      <c r="B61" s="646" t="s">
        <v>1285</v>
      </c>
      <c r="C61" s="647" t="s">
        <v>616</v>
      </c>
      <c r="D61" s="648">
        <v>600000</v>
      </c>
      <c r="E61" s="651"/>
    </row>
    <row r="62" spans="1:6" s="665" customFormat="1" ht="29.45" customHeight="1">
      <c r="A62" s="660">
        <v>7</v>
      </c>
      <c r="B62" s="671" t="s">
        <v>1286</v>
      </c>
      <c r="C62" s="662" t="s">
        <v>16</v>
      </c>
      <c r="D62" s="663">
        <v>468000</v>
      </c>
      <c r="E62" s="666"/>
      <c r="F62" s="665" t="s">
        <v>1543</v>
      </c>
    </row>
    <row r="63" spans="1:6" s="665" customFormat="1" ht="29.45" customHeight="1">
      <c r="A63" s="660">
        <v>8</v>
      </c>
      <c r="B63" s="671" t="s">
        <v>1287</v>
      </c>
      <c r="C63" s="662" t="s">
        <v>1282</v>
      </c>
      <c r="D63" s="710">
        <v>677000</v>
      </c>
      <c r="E63" s="666"/>
      <c r="F63" s="665" t="s">
        <v>1543</v>
      </c>
    </row>
    <row r="64" spans="1:6" ht="29.45" customHeight="1">
      <c r="A64" s="647">
        <v>9</v>
      </c>
      <c r="B64" s="649" t="s">
        <v>1288</v>
      </c>
      <c r="C64" s="645" t="s">
        <v>1282</v>
      </c>
      <c r="D64" s="711">
        <f>+D63</f>
        <v>677000</v>
      </c>
      <c r="E64" s="651"/>
    </row>
    <row r="65" spans="1:6" ht="29.45" customHeight="1">
      <c r="A65" s="647">
        <v>10</v>
      </c>
      <c r="B65" s="649" t="s">
        <v>1289</v>
      </c>
      <c r="C65" s="645" t="s">
        <v>1282</v>
      </c>
      <c r="D65" s="648">
        <v>668820</v>
      </c>
      <c r="E65" s="651"/>
    </row>
    <row r="66" spans="1:6" s="665" customFormat="1" ht="29.45" customHeight="1">
      <c r="A66" s="660">
        <v>11</v>
      </c>
      <c r="B66" s="661" t="s">
        <v>1290</v>
      </c>
      <c r="C66" s="662" t="s">
        <v>16</v>
      </c>
      <c r="D66" s="663">
        <v>565000</v>
      </c>
      <c r="E66" s="666"/>
      <c r="F66" s="665" t="s">
        <v>1543</v>
      </c>
    </row>
    <row r="67" spans="1:6" s="665" customFormat="1" ht="29.45" customHeight="1">
      <c r="A67" s="660">
        <v>12</v>
      </c>
      <c r="B67" s="671" t="s">
        <v>1291</v>
      </c>
      <c r="C67" s="662" t="s">
        <v>1282</v>
      </c>
      <c r="D67" s="710">
        <v>827000</v>
      </c>
      <c r="E67" s="666"/>
      <c r="F67" s="665" t="s">
        <v>1543</v>
      </c>
    </row>
    <row r="68" spans="1:6" ht="29.45" customHeight="1">
      <c r="A68" s="647">
        <v>13</v>
      </c>
      <c r="B68" s="646" t="s">
        <v>1292</v>
      </c>
      <c r="C68" s="647" t="s">
        <v>616</v>
      </c>
      <c r="D68" s="648">
        <v>200000</v>
      </c>
      <c r="E68" s="651"/>
    </row>
    <row r="69" spans="1:6" ht="29.45" customHeight="1">
      <c r="A69" s="647">
        <v>14</v>
      </c>
      <c r="B69" s="646" t="s">
        <v>1293</v>
      </c>
      <c r="C69" s="647" t="s">
        <v>616</v>
      </c>
      <c r="D69" s="648">
        <v>119000</v>
      </c>
      <c r="E69" s="651"/>
    </row>
    <row r="70" spans="1:6" ht="29.45" customHeight="1">
      <c r="A70" s="647">
        <v>15</v>
      </c>
      <c r="B70" s="646" t="s">
        <v>1294</v>
      </c>
      <c r="C70" s="647" t="s">
        <v>16</v>
      </c>
      <c r="D70" s="648">
        <v>284440</v>
      </c>
      <c r="E70" s="651"/>
    </row>
    <row r="71" spans="1:6" ht="29.45" customHeight="1">
      <c r="A71" s="647">
        <v>16</v>
      </c>
      <c r="B71" s="646" t="s">
        <v>1295</v>
      </c>
      <c r="C71" s="647" t="s">
        <v>16</v>
      </c>
      <c r="D71" s="648">
        <v>206880</v>
      </c>
      <c r="E71" s="651"/>
    </row>
    <row r="72" spans="1:6" ht="29.45" customHeight="1">
      <c r="A72" s="647">
        <v>17</v>
      </c>
      <c r="B72" s="646" t="s">
        <v>1296</v>
      </c>
      <c r="C72" s="647" t="s">
        <v>16</v>
      </c>
      <c r="D72" s="648">
        <v>113760</v>
      </c>
      <c r="E72" s="651"/>
    </row>
    <row r="73" spans="1:6" ht="29.45" customHeight="1">
      <c r="A73" s="647">
        <v>18</v>
      </c>
      <c r="B73" s="646" t="s">
        <v>1297</v>
      </c>
      <c r="C73" s="647" t="s">
        <v>16</v>
      </c>
      <c r="D73" s="648">
        <v>129280</v>
      </c>
      <c r="E73" s="651"/>
    </row>
    <row r="74" spans="1:6" ht="29.45" customHeight="1">
      <c r="A74" s="647">
        <v>19</v>
      </c>
      <c r="B74" s="646" t="s">
        <v>1298</v>
      </c>
      <c r="C74" s="647" t="s">
        <v>16</v>
      </c>
      <c r="D74" s="648">
        <v>181000</v>
      </c>
      <c r="E74" s="651"/>
    </row>
    <row r="75" spans="1:6" ht="29.45" customHeight="1">
      <c r="A75" s="647">
        <v>20</v>
      </c>
      <c r="B75" s="646" t="s">
        <v>1299</v>
      </c>
      <c r="C75" s="647" t="s">
        <v>16</v>
      </c>
      <c r="D75" s="648">
        <v>232720</v>
      </c>
      <c r="E75" s="651"/>
    </row>
    <row r="76" spans="1:6" ht="29.45" customHeight="1">
      <c r="A76" s="647">
        <v>21</v>
      </c>
      <c r="B76" s="646" t="s">
        <v>1300</v>
      </c>
      <c r="C76" s="647" t="s">
        <v>16</v>
      </c>
      <c r="D76" s="648">
        <v>360000</v>
      </c>
      <c r="E76" s="651"/>
    </row>
    <row r="77" spans="1:6" ht="29.45" customHeight="1">
      <c r="A77" s="647">
        <v>22</v>
      </c>
      <c r="B77" s="646" t="s">
        <v>1301</v>
      </c>
      <c r="C77" s="647" t="s">
        <v>16</v>
      </c>
      <c r="D77" s="648">
        <v>655560</v>
      </c>
      <c r="E77" s="651"/>
    </row>
    <row r="78" spans="1:6" ht="29.45" customHeight="1">
      <c r="A78" s="647">
        <v>23</v>
      </c>
      <c r="B78" s="646" t="s">
        <v>1302</v>
      </c>
      <c r="C78" s="647" t="s">
        <v>16</v>
      </c>
      <c r="D78" s="648">
        <v>763320</v>
      </c>
      <c r="E78" s="651"/>
    </row>
    <row r="79" spans="1:6" ht="29.45" customHeight="1">
      <c r="A79" s="647">
        <v>24</v>
      </c>
      <c r="B79" s="646" t="s">
        <v>1303</v>
      </c>
      <c r="C79" s="647" t="s">
        <v>16</v>
      </c>
      <c r="D79" s="648">
        <v>856280</v>
      </c>
      <c r="E79" s="651"/>
    </row>
    <row r="80" spans="1:6" ht="29.45" customHeight="1">
      <c r="A80" s="647">
        <v>25</v>
      </c>
      <c r="B80" s="646" t="s">
        <v>1304</v>
      </c>
      <c r="C80" s="647" t="s">
        <v>16</v>
      </c>
      <c r="D80" s="648">
        <v>303400</v>
      </c>
      <c r="E80" s="651"/>
    </row>
    <row r="81" spans="1:6" ht="29.45" customHeight="1">
      <c r="A81" s="647">
        <v>26</v>
      </c>
      <c r="B81" s="646" t="s">
        <v>1305</v>
      </c>
      <c r="C81" s="647" t="s">
        <v>16</v>
      </c>
      <c r="D81" s="648">
        <v>1640560</v>
      </c>
      <c r="E81" s="651"/>
    </row>
    <row r="82" spans="1:6" ht="29.45" customHeight="1">
      <c r="A82" s="643" t="s">
        <v>120</v>
      </c>
      <c r="B82" s="644" t="s">
        <v>1306</v>
      </c>
      <c r="C82" s="643"/>
      <c r="D82" s="643"/>
      <c r="E82" s="651"/>
    </row>
    <row r="83" spans="1:6" ht="29.45" customHeight="1">
      <c r="A83" s="647">
        <v>1</v>
      </c>
      <c r="B83" s="646" t="s">
        <v>1307</v>
      </c>
      <c r="C83" s="647" t="s">
        <v>1308</v>
      </c>
      <c r="D83" s="648">
        <v>40000</v>
      </c>
      <c r="E83" s="651"/>
    </row>
    <row r="84" spans="1:6" ht="29.45" customHeight="1">
      <c r="A84" s="647">
        <v>2</v>
      </c>
      <c r="B84" s="646" t="s">
        <v>1309</v>
      </c>
      <c r="C84" s="647" t="s">
        <v>87</v>
      </c>
      <c r="D84" s="648">
        <v>60000</v>
      </c>
      <c r="E84" s="651"/>
    </row>
    <row r="85" spans="1:6" ht="29.45" customHeight="1">
      <c r="A85" s="647">
        <v>3</v>
      </c>
      <c r="B85" s="646" t="s">
        <v>1310</v>
      </c>
      <c r="C85" s="647" t="s">
        <v>86</v>
      </c>
      <c r="D85" s="648">
        <v>40000</v>
      </c>
      <c r="E85" s="651"/>
    </row>
    <row r="86" spans="1:6" ht="29.45" customHeight="1">
      <c r="A86" s="647">
        <v>4</v>
      </c>
      <c r="B86" s="657" t="s">
        <v>1311</v>
      </c>
      <c r="C86" s="658" t="s">
        <v>86</v>
      </c>
      <c r="D86" s="648">
        <v>25000</v>
      </c>
      <c r="E86" s="651"/>
    </row>
    <row r="87" spans="1:6" ht="29.45" customHeight="1">
      <c r="A87" s="647">
        <v>5</v>
      </c>
      <c r="B87" s="657" t="s">
        <v>1312</v>
      </c>
      <c r="C87" s="658" t="s">
        <v>109</v>
      </c>
      <c r="D87" s="648">
        <v>7000</v>
      </c>
      <c r="E87" s="651"/>
    </row>
    <row r="88" spans="1:6" s="665" customFormat="1" ht="29.45" customHeight="1">
      <c r="A88" s="660">
        <v>6</v>
      </c>
      <c r="B88" s="669" t="s">
        <v>1313</v>
      </c>
      <c r="C88" s="672" t="s">
        <v>109</v>
      </c>
      <c r="D88" s="663">
        <v>390000</v>
      </c>
      <c r="E88" s="666"/>
      <c r="F88" s="665" t="s">
        <v>1543</v>
      </c>
    </row>
    <row r="89" spans="1:6" s="665" customFormat="1" ht="29.45" customHeight="1">
      <c r="A89" s="660">
        <v>7</v>
      </c>
      <c r="B89" s="669" t="s">
        <v>1314</v>
      </c>
      <c r="C89" s="672" t="s">
        <v>109</v>
      </c>
      <c r="D89" s="663">
        <v>390000</v>
      </c>
      <c r="E89" s="666"/>
      <c r="F89" s="665" t="s">
        <v>1543</v>
      </c>
    </row>
    <row r="90" spans="1:6" ht="29.45" customHeight="1">
      <c r="A90" s="647">
        <v>8</v>
      </c>
      <c r="B90" s="657" t="s">
        <v>1315</v>
      </c>
      <c r="C90" s="658" t="s">
        <v>86</v>
      </c>
      <c r="D90" s="648">
        <v>30450</v>
      </c>
      <c r="E90" s="651"/>
    </row>
    <row r="91" spans="1:6" ht="29.45" customHeight="1">
      <c r="A91" s="647">
        <v>9</v>
      </c>
      <c r="B91" s="657" t="s">
        <v>1316</v>
      </c>
      <c r="C91" s="658" t="s">
        <v>86</v>
      </c>
      <c r="D91" s="648">
        <v>50925</v>
      </c>
      <c r="E91" s="651"/>
    </row>
    <row r="92" spans="1:6" ht="29.45" customHeight="1">
      <c r="A92" s="647">
        <v>10</v>
      </c>
      <c r="B92" s="646" t="s">
        <v>1317</v>
      </c>
      <c r="C92" s="647" t="s">
        <v>86</v>
      </c>
      <c r="D92" s="648">
        <v>24350</v>
      </c>
      <c r="E92" s="651"/>
    </row>
    <row r="93" spans="1:6" s="665" customFormat="1" ht="29.45" customHeight="1">
      <c r="A93" s="660">
        <v>11</v>
      </c>
      <c r="B93" s="669" t="s">
        <v>607</v>
      </c>
      <c r="C93" s="670" t="s">
        <v>86</v>
      </c>
      <c r="D93" s="663">
        <v>40000</v>
      </c>
      <c r="E93" s="666"/>
      <c r="F93" s="665" t="s">
        <v>1543</v>
      </c>
    </row>
    <row r="94" spans="1:6" ht="29.45" customHeight="1">
      <c r="A94" s="647">
        <v>12</v>
      </c>
      <c r="B94" s="657" t="s">
        <v>1318</v>
      </c>
      <c r="C94" s="658" t="s">
        <v>86</v>
      </c>
      <c r="D94" s="648">
        <v>40000</v>
      </c>
      <c r="E94" s="651"/>
    </row>
    <row r="95" spans="1:6" ht="29.45" customHeight="1">
      <c r="A95" s="647">
        <v>13</v>
      </c>
      <c r="B95" s="657" t="s">
        <v>1319</v>
      </c>
      <c r="C95" s="652" t="s">
        <v>51</v>
      </c>
      <c r="D95" s="648">
        <v>40000</v>
      </c>
      <c r="E95" s="651"/>
    </row>
    <row r="96" spans="1:6" ht="29.45" customHeight="1">
      <c r="A96" s="647">
        <v>14</v>
      </c>
      <c r="B96" s="646" t="s">
        <v>1320</v>
      </c>
      <c r="C96" s="647" t="s">
        <v>86</v>
      </c>
      <c r="D96" s="648">
        <v>249000</v>
      </c>
      <c r="E96" s="651"/>
    </row>
    <row r="97" spans="1:6" s="665" customFormat="1" ht="29.45" customHeight="1">
      <c r="A97" s="660">
        <v>15</v>
      </c>
      <c r="B97" s="661" t="s">
        <v>1321</v>
      </c>
      <c r="C97" s="660" t="s">
        <v>86</v>
      </c>
      <c r="D97" s="663">
        <v>249000</v>
      </c>
      <c r="E97" s="666"/>
      <c r="F97" s="665" t="s">
        <v>1543</v>
      </c>
    </row>
    <row r="98" spans="1:6" ht="29.45" customHeight="1">
      <c r="A98" s="647">
        <v>16</v>
      </c>
      <c r="B98" s="646" t="s">
        <v>1322</v>
      </c>
      <c r="C98" s="647" t="s">
        <v>86</v>
      </c>
      <c r="D98" s="648">
        <v>249000</v>
      </c>
      <c r="E98" s="651"/>
    </row>
    <row r="99" spans="1:6" s="665" customFormat="1" ht="29.45" customHeight="1">
      <c r="A99" s="660">
        <v>17</v>
      </c>
      <c r="B99" s="661" t="s">
        <v>1323</v>
      </c>
      <c r="C99" s="660" t="s">
        <v>168</v>
      </c>
      <c r="D99" s="663">
        <v>371300</v>
      </c>
      <c r="E99" s="666"/>
      <c r="F99" s="665" t="s">
        <v>1543</v>
      </c>
    </row>
    <row r="100" spans="1:6" ht="29.45" customHeight="1">
      <c r="A100" s="647">
        <v>18</v>
      </c>
      <c r="B100" s="646" t="s">
        <v>1324</v>
      </c>
      <c r="C100" s="647" t="s">
        <v>168</v>
      </c>
      <c r="D100" s="648">
        <v>235300</v>
      </c>
      <c r="E100" s="651"/>
    </row>
    <row r="101" spans="1:6" ht="29.45" customHeight="1">
      <c r="A101" s="647">
        <v>19</v>
      </c>
      <c r="B101" s="646" t="s">
        <v>1325</v>
      </c>
      <c r="C101" s="647" t="s">
        <v>86</v>
      </c>
      <c r="D101" s="648">
        <v>20000</v>
      </c>
      <c r="E101" s="651"/>
    </row>
    <row r="102" spans="1:6" s="665" customFormat="1" ht="29.45" customHeight="1">
      <c r="A102" s="660">
        <v>20</v>
      </c>
      <c r="B102" s="661" t="s">
        <v>1326</v>
      </c>
      <c r="C102" s="660" t="s">
        <v>86</v>
      </c>
      <c r="D102" s="663">
        <v>3000</v>
      </c>
      <c r="E102" s="666"/>
      <c r="F102" s="665" t="s">
        <v>1543</v>
      </c>
    </row>
    <row r="103" spans="1:6" ht="29.45" customHeight="1">
      <c r="A103" s="647">
        <v>21</v>
      </c>
      <c r="B103" s="646" t="s">
        <v>1327</v>
      </c>
      <c r="C103" s="647" t="s">
        <v>86</v>
      </c>
      <c r="D103" s="648">
        <v>9000</v>
      </c>
      <c r="E103" s="651"/>
    </row>
    <row r="104" spans="1:6" ht="29.45" customHeight="1">
      <c r="A104" s="647">
        <v>22</v>
      </c>
      <c r="B104" s="646" t="s">
        <v>1328</v>
      </c>
      <c r="C104" s="647" t="s">
        <v>86</v>
      </c>
      <c r="D104" s="648">
        <v>11000</v>
      </c>
      <c r="E104" s="651"/>
    </row>
    <row r="105" spans="1:6" ht="29.45" customHeight="1">
      <c r="A105" s="647">
        <v>23</v>
      </c>
      <c r="B105" s="653" t="s">
        <v>1329</v>
      </c>
      <c r="C105" s="652" t="s">
        <v>86</v>
      </c>
      <c r="D105" s="648">
        <v>22000</v>
      </c>
      <c r="E105" s="651"/>
    </row>
    <row r="106" spans="1:6" s="665" customFormat="1" ht="29.45" customHeight="1">
      <c r="A106" s="660">
        <v>24</v>
      </c>
      <c r="B106" s="661" t="s">
        <v>1330</v>
      </c>
      <c r="C106" s="660" t="s">
        <v>87</v>
      </c>
      <c r="D106" s="663">
        <v>39000</v>
      </c>
      <c r="E106" s="666"/>
      <c r="F106" s="665" t="s">
        <v>1543</v>
      </c>
    </row>
    <row r="107" spans="1:6" s="665" customFormat="1" ht="29.45" customHeight="1">
      <c r="A107" s="660">
        <v>25</v>
      </c>
      <c r="B107" s="661" t="s">
        <v>1331</v>
      </c>
      <c r="C107" s="662" t="s">
        <v>87</v>
      </c>
      <c r="D107" s="663">
        <v>20500</v>
      </c>
      <c r="E107" s="666"/>
      <c r="F107" s="665" t="s">
        <v>1543</v>
      </c>
    </row>
    <row r="108" spans="1:6" ht="29.45" customHeight="1">
      <c r="A108" s="647">
        <v>26</v>
      </c>
      <c r="B108" s="646" t="s">
        <v>1332</v>
      </c>
      <c r="C108" s="647" t="s">
        <v>86</v>
      </c>
      <c r="D108" s="648">
        <v>21000</v>
      </c>
      <c r="E108" s="651"/>
    </row>
    <row r="109" spans="1:6" s="665" customFormat="1" ht="29.45" customHeight="1">
      <c r="A109" s="660">
        <v>27</v>
      </c>
      <c r="B109" s="671" t="s">
        <v>1333</v>
      </c>
      <c r="C109" s="662" t="s">
        <v>87</v>
      </c>
      <c r="D109" s="663">
        <v>7200</v>
      </c>
      <c r="E109" s="666"/>
      <c r="F109" s="665" t="s">
        <v>1543</v>
      </c>
    </row>
    <row r="110" spans="1:6" ht="29.45" customHeight="1">
      <c r="A110" s="647">
        <v>28</v>
      </c>
      <c r="B110" s="646" t="s">
        <v>1334</v>
      </c>
      <c r="C110" s="647" t="s">
        <v>86</v>
      </c>
      <c r="D110" s="648">
        <v>27000</v>
      </c>
      <c r="E110" s="651"/>
    </row>
    <row r="111" spans="1:6" ht="29.45" customHeight="1">
      <c r="A111" s="647">
        <v>29</v>
      </c>
      <c r="B111" s="646" t="s">
        <v>1335</v>
      </c>
      <c r="C111" s="647" t="s">
        <v>86</v>
      </c>
      <c r="D111" s="648">
        <v>5500</v>
      </c>
      <c r="E111" s="651"/>
    </row>
    <row r="112" spans="1:6" ht="29.45" customHeight="1">
      <c r="A112" s="647">
        <v>30</v>
      </c>
      <c r="B112" s="646" t="s">
        <v>1336</v>
      </c>
      <c r="C112" s="645" t="s">
        <v>87</v>
      </c>
      <c r="D112" s="648">
        <v>31500</v>
      </c>
      <c r="E112" s="651"/>
    </row>
    <row r="113" spans="1:6" ht="29.45" customHeight="1">
      <c r="A113" s="647">
        <v>31</v>
      </c>
      <c r="B113" s="646" t="s">
        <v>1337</v>
      </c>
      <c r="C113" s="645" t="s">
        <v>87</v>
      </c>
      <c r="D113" s="648">
        <v>33400</v>
      </c>
      <c r="E113" s="651"/>
    </row>
    <row r="114" spans="1:6" s="665" customFormat="1" ht="29.45" customHeight="1">
      <c r="A114" s="660">
        <v>32</v>
      </c>
      <c r="B114" s="671" t="s">
        <v>1338</v>
      </c>
      <c r="C114" s="662" t="s">
        <v>86</v>
      </c>
      <c r="D114" s="663">
        <v>32500</v>
      </c>
      <c r="E114" s="666"/>
      <c r="F114" s="665" t="s">
        <v>1543</v>
      </c>
    </row>
    <row r="115" spans="1:6" ht="29.45" customHeight="1">
      <c r="A115" s="647">
        <v>33</v>
      </c>
      <c r="B115" s="646" t="s">
        <v>1339</v>
      </c>
      <c r="C115" s="645" t="s">
        <v>86</v>
      </c>
      <c r="D115" s="648">
        <v>39700</v>
      </c>
      <c r="E115" s="651"/>
    </row>
    <row r="116" spans="1:6" ht="29.45" customHeight="1">
      <c r="A116" s="647">
        <v>34</v>
      </c>
      <c r="B116" s="646" t="s">
        <v>1340</v>
      </c>
      <c r="C116" s="647" t="s">
        <v>86</v>
      </c>
      <c r="D116" s="648">
        <v>36000</v>
      </c>
      <c r="E116" s="651"/>
    </row>
    <row r="117" spans="1:6" ht="29.45" customHeight="1">
      <c r="A117" s="647">
        <v>35</v>
      </c>
      <c r="B117" s="646" t="s">
        <v>1341</v>
      </c>
      <c r="C117" s="647" t="s">
        <v>86</v>
      </c>
      <c r="D117" s="648">
        <v>32000</v>
      </c>
      <c r="E117" s="651"/>
    </row>
    <row r="118" spans="1:6" ht="29.45" customHeight="1">
      <c r="A118" s="647">
        <v>36</v>
      </c>
      <c r="B118" s="646" t="s">
        <v>1342</v>
      </c>
      <c r="C118" s="647" t="s">
        <v>86</v>
      </c>
      <c r="D118" s="648">
        <v>2800</v>
      </c>
      <c r="E118" s="651"/>
    </row>
    <row r="119" spans="1:6" ht="29.45" customHeight="1">
      <c r="A119" s="647">
        <v>37</v>
      </c>
      <c r="B119" s="646" t="s">
        <v>1343</v>
      </c>
      <c r="C119" s="647" t="s">
        <v>86</v>
      </c>
      <c r="D119" s="648">
        <v>3000</v>
      </c>
      <c r="E119" s="651"/>
    </row>
    <row r="120" spans="1:6" ht="29.45" customHeight="1">
      <c r="A120" s="647">
        <v>38</v>
      </c>
      <c r="B120" s="646" t="s">
        <v>1344</v>
      </c>
      <c r="C120" s="647" t="s">
        <v>86</v>
      </c>
      <c r="D120" s="648">
        <v>2000</v>
      </c>
      <c r="E120" s="651"/>
    </row>
    <row r="121" spans="1:6" s="665" customFormat="1" ht="29.45" customHeight="1">
      <c r="A121" s="660">
        <v>39</v>
      </c>
      <c r="B121" s="661" t="s">
        <v>1345</v>
      </c>
      <c r="C121" s="662" t="s">
        <v>86</v>
      </c>
      <c r="D121" s="663">
        <v>26000</v>
      </c>
      <c r="E121" s="666"/>
      <c r="F121" s="665" t="s">
        <v>1543</v>
      </c>
    </row>
    <row r="122" spans="1:6" ht="29.45" customHeight="1">
      <c r="A122" s="647">
        <v>40</v>
      </c>
      <c r="B122" s="646" t="s">
        <v>1346</v>
      </c>
      <c r="C122" s="647" t="s">
        <v>86</v>
      </c>
      <c r="D122" s="648">
        <v>28000</v>
      </c>
      <c r="E122" s="651"/>
    </row>
    <row r="123" spans="1:6" ht="29.45" customHeight="1">
      <c r="A123" s="647">
        <v>41</v>
      </c>
      <c r="B123" s="646" t="s">
        <v>1347</v>
      </c>
      <c r="C123" s="645" t="s">
        <v>86</v>
      </c>
      <c r="D123" s="648">
        <v>38640</v>
      </c>
      <c r="E123" s="651"/>
    </row>
    <row r="124" spans="1:6" s="665" customFormat="1" ht="29.45" customHeight="1">
      <c r="A124" s="660">
        <v>42</v>
      </c>
      <c r="B124" s="661" t="s">
        <v>1348</v>
      </c>
      <c r="C124" s="660" t="s">
        <v>86</v>
      </c>
      <c r="D124" s="663">
        <v>24000</v>
      </c>
      <c r="E124" s="666"/>
      <c r="F124" s="665" t="s">
        <v>1543</v>
      </c>
    </row>
    <row r="125" spans="1:6" ht="29.45" customHeight="1">
      <c r="A125" s="647">
        <v>43</v>
      </c>
      <c r="B125" s="646" t="s">
        <v>1349</v>
      </c>
      <c r="C125" s="645" t="s">
        <v>86</v>
      </c>
      <c r="D125" s="648">
        <v>24000</v>
      </c>
      <c r="E125" s="651"/>
    </row>
    <row r="126" spans="1:6" ht="29.45" customHeight="1">
      <c r="A126" s="647">
        <v>44</v>
      </c>
      <c r="B126" s="646" t="s">
        <v>1350</v>
      </c>
      <c r="C126" s="647" t="s">
        <v>86</v>
      </c>
      <c r="D126" s="648">
        <v>16000</v>
      </c>
      <c r="E126" s="651"/>
    </row>
    <row r="127" spans="1:6" ht="29.45" customHeight="1">
      <c r="A127" s="647">
        <v>45</v>
      </c>
      <c r="B127" s="646" t="s">
        <v>1351</v>
      </c>
      <c r="C127" s="647" t="s">
        <v>86</v>
      </c>
      <c r="D127" s="648">
        <v>25200</v>
      </c>
      <c r="E127" s="651"/>
    </row>
    <row r="128" spans="1:6" ht="29.45" customHeight="1">
      <c r="A128" s="647">
        <v>46</v>
      </c>
      <c r="B128" s="646" t="s">
        <v>1352</v>
      </c>
      <c r="C128" s="647" t="s">
        <v>86</v>
      </c>
      <c r="D128" s="648">
        <v>23000</v>
      </c>
      <c r="E128" s="651"/>
    </row>
    <row r="129" spans="1:6" ht="29.45" customHeight="1">
      <c r="A129" s="647">
        <v>47</v>
      </c>
      <c r="B129" s="646" t="s">
        <v>1353</v>
      </c>
      <c r="C129" s="647" t="s">
        <v>86</v>
      </c>
      <c r="D129" s="648">
        <v>30800</v>
      </c>
      <c r="E129" s="651"/>
    </row>
    <row r="130" spans="1:6" ht="29.45" customHeight="1">
      <c r="A130" s="647">
        <v>48</v>
      </c>
      <c r="B130" s="646" t="s">
        <v>1354</v>
      </c>
      <c r="C130" s="647" t="s">
        <v>86</v>
      </c>
      <c r="D130" s="648">
        <v>18000</v>
      </c>
      <c r="E130" s="651"/>
    </row>
    <row r="131" spans="1:6" ht="29.45" customHeight="1">
      <c r="A131" s="647">
        <v>49</v>
      </c>
      <c r="B131" s="646" t="s">
        <v>1355</v>
      </c>
      <c r="C131" s="647" t="s">
        <v>86</v>
      </c>
      <c r="D131" s="648">
        <v>59000</v>
      </c>
      <c r="E131" s="651"/>
    </row>
    <row r="132" spans="1:6" ht="29.45" customHeight="1">
      <c r="A132" s="647">
        <v>50</v>
      </c>
      <c r="B132" s="646" t="s">
        <v>1356</v>
      </c>
      <c r="C132" s="647" t="s">
        <v>86</v>
      </c>
      <c r="D132" s="648">
        <v>27000</v>
      </c>
      <c r="E132" s="651"/>
    </row>
    <row r="133" spans="1:6" ht="29.45" customHeight="1">
      <c r="A133" s="647">
        <v>51</v>
      </c>
      <c r="B133" s="646" t="s">
        <v>1357</v>
      </c>
      <c r="C133" s="647" t="s">
        <v>90</v>
      </c>
      <c r="D133" s="648">
        <v>31000</v>
      </c>
      <c r="E133" s="651"/>
    </row>
    <row r="134" spans="1:6" ht="29.45" customHeight="1">
      <c r="A134" s="647">
        <v>52</v>
      </c>
      <c r="B134" s="646" t="s">
        <v>1358</v>
      </c>
      <c r="C134" s="647" t="s">
        <v>86</v>
      </c>
      <c r="D134" s="648">
        <v>26000</v>
      </c>
      <c r="E134" s="651"/>
    </row>
    <row r="135" spans="1:6" ht="29.45" customHeight="1">
      <c r="A135" s="647">
        <v>53</v>
      </c>
      <c r="B135" s="646" t="s">
        <v>1359</v>
      </c>
      <c r="C135" s="645" t="s">
        <v>86</v>
      </c>
      <c r="D135" s="648">
        <v>30360</v>
      </c>
      <c r="E135" s="651"/>
    </row>
    <row r="136" spans="1:6" ht="29.45" customHeight="1">
      <c r="A136" s="647">
        <v>54</v>
      </c>
      <c r="B136" s="646" t="s">
        <v>1360</v>
      </c>
      <c r="C136" s="645" t="s">
        <v>86</v>
      </c>
      <c r="D136" s="648">
        <v>39000</v>
      </c>
      <c r="E136" s="651"/>
    </row>
    <row r="137" spans="1:6" ht="29.45" customHeight="1">
      <c r="A137" s="647">
        <v>55</v>
      </c>
      <c r="B137" s="646" t="s">
        <v>1361</v>
      </c>
      <c r="C137" s="645" t="s">
        <v>86</v>
      </c>
      <c r="D137" s="648">
        <v>28600</v>
      </c>
      <c r="E137" s="651"/>
    </row>
    <row r="138" spans="1:6" ht="29.45" customHeight="1">
      <c r="A138" s="647">
        <v>56</v>
      </c>
      <c r="B138" s="646" t="s">
        <v>1362</v>
      </c>
      <c r="C138" s="645" t="s">
        <v>86</v>
      </c>
      <c r="D138" s="648">
        <v>39900</v>
      </c>
      <c r="E138" s="651"/>
    </row>
    <row r="139" spans="1:6" s="665" customFormat="1" ht="29.45" customHeight="1">
      <c r="A139" s="660">
        <v>57</v>
      </c>
      <c r="B139" s="661" t="s">
        <v>1363</v>
      </c>
      <c r="C139" s="662" t="s">
        <v>86</v>
      </c>
      <c r="D139" s="663">
        <v>330000</v>
      </c>
      <c r="E139" s="666"/>
      <c r="F139" s="665" t="s">
        <v>1543</v>
      </c>
    </row>
    <row r="140" spans="1:6" s="665" customFormat="1" ht="29.45" customHeight="1">
      <c r="A140" s="660">
        <v>58</v>
      </c>
      <c r="B140" s="661" t="s">
        <v>592</v>
      </c>
      <c r="C140" s="662" t="s">
        <v>91</v>
      </c>
      <c r="D140" s="663">
        <v>240000</v>
      </c>
      <c r="E140" s="666"/>
      <c r="F140" s="665" t="s">
        <v>1543</v>
      </c>
    </row>
    <row r="141" spans="1:6" ht="29.45" customHeight="1">
      <c r="A141" s="647">
        <v>59</v>
      </c>
      <c r="B141" s="649" t="s">
        <v>1364</v>
      </c>
      <c r="C141" s="645" t="s">
        <v>86</v>
      </c>
      <c r="D141" s="648">
        <v>25000</v>
      </c>
      <c r="E141" s="651"/>
    </row>
    <row r="142" spans="1:6" ht="29.45" customHeight="1">
      <c r="A142" s="647">
        <v>60</v>
      </c>
      <c r="B142" s="646" t="s">
        <v>1365</v>
      </c>
      <c r="C142" s="647" t="s">
        <v>87</v>
      </c>
      <c r="D142" s="648">
        <v>130000</v>
      </c>
      <c r="E142" s="651"/>
    </row>
    <row r="143" spans="1:6" ht="29.45" customHeight="1">
      <c r="A143" s="647">
        <v>61</v>
      </c>
      <c r="B143" s="646" t="s">
        <v>1366</v>
      </c>
      <c r="C143" s="647" t="s">
        <v>86</v>
      </c>
      <c r="D143" s="648">
        <v>371300</v>
      </c>
      <c r="E143" s="651"/>
    </row>
    <row r="144" spans="1:6" ht="29.45" customHeight="1">
      <c r="A144" s="647">
        <v>62</v>
      </c>
      <c r="B144" s="646" t="s">
        <v>1367</v>
      </c>
      <c r="C144" s="647" t="s">
        <v>168</v>
      </c>
      <c r="D144" s="648">
        <v>233183.85650224215</v>
      </c>
      <c r="E144" s="651"/>
    </row>
    <row r="145" spans="1:6" ht="29.45" customHeight="1">
      <c r="A145" s="647">
        <v>63</v>
      </c>
      <c r="B145" s="646" t="s">
        <v>1368</v>
      </c>
      <c r="C145" s="645" t="s">
        <v>86</v>
      </c>
      <c r="D145" s="648">
        <v>200000</v>
      </c>
      <c r="E145" s="651"/>
    </row>
    <row r="146" spans="1:6" ht="29.45" customHeight="1">
      <c r="A146" s="647">
        <v>64</v>
      </c>
      <c r="B146" s="646" t="s">
        <v>1369</v>
      </c>
      <c r="C146" s="645" t="s">
        <v>86</v>
      </c>
      <c r="D146" s="648">
        <v>180000</v>
      </c>
      <c r="E146" s="651"/>
    </row>
    <row r="147" spans="1:6" ht="29.45" customHeight="1">
      <c r="A147" s="647">
        <v>65</v>
      </c>
      <c r="B147" s="646" t="s">
        <v>1370</v>
      </c>
      <c r="C147" s="647" t="s">
        <v>86</v>
      </c>
      <c r="D147" s="648">
        <v>200000</v>
      </c>
      <c r="E147" s="651"/>
    </row>
    <row r="148" spans="1:6" s="665" customFormat="1" ht="29.45" customHeight="1">
      <c r="A148" s="660">
        <v>66</v>
      </c>
      <c r="B148" s="661" t="s">
        <v>986</v>
      </c>
      <c r="C148" s="662" t="s">
        <v>86</v>
      </c>
      <c r="D148" s="663">
        <v>80000</v>
      </c>
      <c r="E148" s="666"/>
      <c r="F148" s="665" t="s">
        <v>1543</v>
      </c>
    </row>
    <row r="149" spans="1:6" s="665" customFormat="1" ht="29.45" customHeight="1">
      <c r="A149" s="660">
        <v>67</v>
      </c>
      <c r="B149" s="661" t="s">
        <v>985</v>
      </c>
      <c r="C149" s="662" t="s">
        <v>86</v>
      </c>
      <c r="D149" s="663">
        <v>105000</v>
      </c>
      <c r="E149" s="666"/>
      <c r="F149" s="665" t="s">
        <v>1543</v>
      </c>
    </row>
    <row r="150" spans="1:6" s="665" customFormat="1" ht="29.45" customHeight="1">
      <c r="A150" s="660">
        <v>68</v>
      </c>
      <c r="B150" s="661" t="s">
        <v>720</v>
      </c>
      <c r="C150" s="662" t="s">
        <v>86</v>
      </c>
      <c r="D150" s="663">
        <v>30000</v>
      </c>
      <c r="E150" s="666"/>
      <c r="F150" s="665" t="s">
        <v>1543</v>
      </c>
    </row>
    <row r="151" spans="1:6" ht="29.45" customHeight="1">
      <c r="A151" s="647">
        <v>69</v>
      </c>
      <c r="B151" s="649" t="s">
        <v>1371</v>
      </c>
      <c r="C151" s="645" t="s">
        <v>1277</v>
      </c>
      <c r="D151" s="648">
        <v>203000</v>
      </c>
      <c r="E151" s="651"/>
    </row>
    <row r="152" spans="1:6" ht="29.45" customHeight="1">
      <c r="A152" s="647">
        <v>70</v>
      </c>
      <c r="B152" s="646" t="s">
        <v>1372</v>
      </c>
      <c r="C152" s="645" t="s">
        <v>86</v>
      </c>
      <c r="D152" s="648">
        <v>14000</v>
      </c>
      <c r="E152" s="651"/>
    </row>
    <row r="153" spans="1:6" ht="29.45" customHeight="1">
      <c r="A153" s="647">
        <v>71</v>
      </c>
      <c r="B153" s="646" t="s">
        <v>1373</v>
      </c>
      <c r="C153" s="645" t="s">
        <v>86</v>
      </c>
      <c r="D153" s="648">
        <v>32500</v>
      </c>
      <c r="E153" s="651"/>
    </row>
    <row r="154" spans="1:6" ht="29.45" customHeight="1">
      <c r="A154" s="647">
        <v>72</v>
      </c>
      <c r="B154" s="646" t="s">
        <v>1374</v>
      </c>
      <c r="C154" s="647" t="s">
        <v>86</v>
      </c>
      <c r="D154" s="648">
        <v>35500</v>
      </c>
      <c r="E154" s="651"/>
    </row>
    <row r="155" spans="1:6" ht="29.45" customHeight="1">
      <c r="A155" s="647">
        <v>73</v>
      </c>
      <c r="B155" s="646" t="s">
        <v>1375</v>
      </c>
      <c r="C155" s="647" t="s">
        <v>86</v>
      </c>
      <c r="D155" s="648">
        <v>9500</v>
      </c>
      <c r="E155" s="651"/>
    </row>
    <row r="156" spans="1:6" s="665" customFormat="1" ht="29.45" customHeight="1">
      <c r="A156" s="660">
        <v>74</v>
      </c>
      <c r="B156" s="661" t="s">
        <v>664</v>
      </c>
      <c r="C156" s="662" t="s">
        <v>86</v>
      </c>
      <c r="D156" s="663">
        <v>20500</v>
      </c>
      <c r="E156" s="666"/>
      <c r="F156" s="665" t="s">
        <v>1543</v>
      </c>
    </row>
    <row r="157" spans="1:6" ht="29.45" customHeight="1">
      <c r="A157" s="647">
        <v>75</v>
      </c>
      <c r="B157" s="646" t="s">
        <v>1376</v>
      </c>
      <c r="C157" s="647" t="s">
        <v>86</v>
      </c>
      <c r="D157" s="648">
        <v>4000</v>
      </c>
      <c r="E157" s="651"/>
    </row>
    <row r="158" spans="1:6" ht="29.45" customHeight="1">
      <c r="A158" s="647">
        <v>76</v>
      </c>
      <c r="B158" s="646" t="s">
        <v>1377</v>
      </c>
      <c r="C158" s="645" t="s">
        <v>86</v>
      </c>
      <c r="D158" s="648">
        <v>174100</v>
      </c>
      <c r="E158" s="651"/>
    </row>
    <row r="159" spans="1:6" ht="29.45" customHeight="1">
      <c r="A159" s="647">
        <v>77</v>
      </c>
      <c r="B159" s="646" t="s">
        <v>1378</v>
      </c>
      <c r="C159" s="645" t="s">
        <v>86</v>
      </c>
      <c r="D159" s="648">
        <v>59000</v>
      </c>
      <c r="E159" s="651"/>
    </row>
    <row r="160" spans="1:6" ht="29.45" customHeight="1">
      <c r="A160" s="647">
        <v>78</v>
      </c>
      <c r="B160" s="646" t="s">
        <v>1379</v>
      </c>
      <c r="C160" s="647" t="s">
        <v>86</v>
      </c>
      <c r="D160" s="648">
        <v>2000</v>
      </c>
      <c r="E160" s="651"/>
    </row>
    <row r="161" spans="1:5" ht="29.45" customHeight="1">
      <c r="A161" s="647">
        <v>79</v>
      </c>
      <c r="B161" s="646" t="s">
        <v>1380</v>
      </c>
      <c r="C161" s="647" t="s">
        <v>86</v>
      </c>
      <c r="D161" s="648">
        <v>5000</v>
      </c>
      <c r="E161" s="651"/>
    </row>
    <row r="162" spans="1:5" ht="29.45" customHeight="1">
      <c r="A162" s="647">
        <v>80</v>
      </c>
      <c r="B162" s="646" t="s">
        <v>1381</v>
      </c>
      <c r="C162" s="647" t="s">
        <v>86</v>
      </c>
      <c r="D162" s="648">
        <v>200000</v>
      </c>
      <c r="E162" s="651"/>
    </row>
    <row r="163" spans="1:5" ht="29.45" customHeight="1">
      <c r="A163" s="647">
        <v>81</v>
      </c>
      <c r="B163" s="646" t="s">
        <v>1382</v>
      </c>
      <c r="C163" s="647" t="s">
        <v>86</v>
      </c>
      <c r="D163" s="648">
        <v>70000</v>
      </c>
      <c r="E163" s="651"/>
    </row>
    <row r="164" spans="1:5" ht="29.45" customHeight="1">
      <c r="A164" s="647">
        <v>82</v>
      </c>
      <c r="B164" s="646" t="s">
        <v>1383</v>
      </c>
      <c r="C164" s="647" t="s">
        <v>86</v>
      </c>
      <c r="D164" s="648">
        <v>54988</v>
      </c>
      <c r="E164" s="651"/>
    </row>
    <row r="165" spans="1:5" ht="29.45" customHeight="1">
      <c r="A165" s="647">
        <v>83</v>
      </c>
      <c r="B165" s="646" t="s">
        <v>1384</v>
      </c>
      <c r="C165" s="647" t="s">
        <v>86</v>
      </c>
      <c r="D165" s="648">
        <v>55998</v>
      </c>
      <c r="E165" s="651"/>
    </row>
    <row r="166" spans="1:5" ht="29.45" customHeight="1">
      <c r="A166" s="647">
        <v>84</v>
      </c>
      <c r="B166" s="646" t="s">
        <v>1385</v>
      </c>
      <c r="C166" s="645" t="s">
        <v>86</v>
      </c>
      <c r="D166" s="648">
        <v>120000</v>
      </c>
      <c r="E166" s="651"/>
    </row>
    <row r="167" spans="1:5" ht="29.45" customHeight="1">
      <c r="A167" s="647">
        <v>85</v>
      </c>
      <c r="B167" s="646" t="s">
        <v>1386</v>
      </c>
      <c r="C167" s="645" t="s">
        <v>86</v>
      </c>
      <c r="D167" s="648">
        <v>170000</v>
      </c>
      <c r="E167" s="651"/>
    </row>
    <row r="168" spans="1:5" ht="29.45" customHeight="1">
      <c r="A168" s="647">
        <v>86</v>
      </c>
      <c r="B168" s="646" t="s">
        <v>1387</v>
      </c>
      <c r="C168" s="645" t="s">
        <v>86</v>
      </c>
      <c r="D168" s="648">
        <v>55000</v>
      </c>
      <c r="E168" s="651"/>
    </row>
    <row r="169" spans="1:5" ht="29.45" customHeight="1">
      <c r="A169" s="647">
        <v>87</v>
      </c>
      <c r="B169" s="646" t="s">
        <v>1388</v>
      </c>
      <c r="C169" s="647" t="s">
        <v>87</v>
      </c>
      <c r="D169" s="648">
        <v>45000</v>
      </c>
      <c r="E169" s="651"/>
    </row>
    <row r="170" spans="1:5" ht="29.45" customHeight="1">
      <c r="A170" s="647">
        <v>88</v>
      </c>
      <c r="B170" s="646" t="s">
        <v>1389</v>
      </c>
      <c r="C170" s="645" t="s">
        <v>86</v>
      </c>
      <c r="D170" s="648">
        <v>175000</v>
      </c>
      <c r="E170" s="651"/>
    </row>
    <row r="171" spans="1:5" ht="29.45" customHeight="1">
      <c r="A171" s="647">
        <v>89</v>
      </c>
      <c r="B171" s="646" t="s">
        <v>1390</v>
      </c>
      <c r="C171" s="645" t="s">
        <v>86</v>
      </c>
      <c r="D171" s="648">
        <v>26500</v>
      </c>
      <c r="E171" s="651"/>
    </row>
    <row r="172" spans="1:5" ht="29.45" customHeight="1">
      <c r="A172" s="647">
        <v>90</v>
      </c>
      <c r="B172" s="646" t="s">
        <v>163</v>
      </c>
      <c r="C172" s="647" t="s">
        <v>1391</v>
      </c>
      <c r="D172" s="648">
        <v>27000</v>
      </c>
      <c r="E172" s="651"/>
    </row>
    <row r="173" spans="1:5" ht="29.45" customHeight="1">
      <c r="A173" s="647">
        <v>91</v>
      </c>
      <c r="B173" s="646" t="s">
        <v>1392</v>
      </c>
      <c r="C173" s="645" t="s">
        <v>1391</v>
      </c>
      <c r="D173" s="648">
        <v>69115</v>
      </c>
      <c r="E173" s="651"/>
    </row>
    <row r="174" spans="1:5" ht="29.45" customHeight="1">
      <c r="A174" s="647">
        <v>92</v>
      </c>
      <c r="B174" s="646" t="s">
        <v>1393</v>
      </c>
      <c r="C174" s="647" t="s">
        <v>1391</v>
      </c>
      <c r="D174" s="648">
        <v>28000</v>
      </c>
      <c r="E174" s="651"/>
    </row>
    <row r="175" spans="1:5" ht="29.45" customHeight="1">
      <c r="A175" s="647">
        <v>93</v>
      </c>
      <c r="B175" s="646" t="s">
        <v>1394</v>
      </c>
      <c r="C175" s="645" t="s">
        <v>1391</v>
      </c>
      <c r="D175" s="648">
        <v>76015</v>
      </c>
      <c r="E175" s="651"/>
    </row>
    <row r="176" spans="1:5" ht="29.45" customHeight="1">
      <c r="A176" s="647">
        <v>94</v>
      </c>
      <c r="B176" s="646" t="s">
        <v>1395</v>
      </c>
      <c r="C176" s="647" t="s">
        <v>1391</v>
      </c>
      <c r="D176" s="648">
        <v>31000</v>
      </c>
      <c r="E176" s="651"/>
    </row>
    <row r="177" spans="1:6" ht="29.45" customHeight="1">
      <c r="A177" s="647">
        <v>95</v>
      </c>
      <c r="B177" s="646" t="s">
        <v>1396</v>
      </c>
      <c r="C177" s="645" t="s">
        <v>1391</v>
      </c>
      <c r="D177" s="648">
        <v>88205</v>
      </c>
      <c r="E177" s="651"/>
    </row>
    <row r="178" spans="1:6" ht="29.45" customHeight="1">
      <c r="A178" s="647">
        <v>96</v>
      </c>
      <c r="B178" s="646" t="s">
        <v>166</v>
      </c>
      <c r="C178" s="647" t="s">
        <v>1391</v>
      </c>
      <c r="D178" s="648">
        <v>24000</v>
      </c>
      <c r="E178" s="651"/>
    </row>
    <row r="179" spans="1:6" ht="29.45" customHeight="1">
      <c r="A179" s="647">
        <v>97</v>
      </c>
      <c r="B179" s="646" t="s">
        <v>165</v>
      </c>
      <c r="C179" s="647" t="s">
        <v>1391</v>
      </c>
      <c r="D179" s="648">
        <v>24000</v>
      </c>
      <c r="E179" s="651"/>
    </row>
    <row r="180" spans="1:6" ht="29.45" customHeight="1">
      <c r="A180" s="647">
        <v>98</v>
      </c>
      <c r="B180" s="646" t="s">
        <v>164</v>
      </c>
      <c r="C180" s="645" t="s">
        <v>1391</v>
      </c>
      <c r="D180" s="648">
        <v>63940</v>
      </c>
      <c r="E180" s="651"/>
    </row>
    <row r="181" spans="1:6" s="665" customFormat="1" ht="29.45" customHeight="1">
      <c r="A181" s="660">
        <v>99</v>
      </c>
      <c r="B181" s="661" t="s">
        <v>1397</v>
      </c>
      <c r="C181" s="660" t="s">
        <v>99</v>
      </c>
      <c r="D181" s="663">
        <v>4400</v>
      </c>
      <c r="E181" s="666"/>
      <c r="F181" s="665" t="s">
        <v>1543</v>
      </c>
    </row>
    <row r="182" spans="1:6" ht="29.45" customHeight="1">
      <c r="A182" s="647">
        <v>100</v>
      </c>
      <c r="B182" s="649" t="s">
        <v>1398</v>
      </c>
      <c r="C182" s="645" t="s">
        <v>1308</v>
      </c>
      <c r="D182" s="648">
        <v>55000</v>
      </c>
      <c r="E182" s="651"/>
    </row>
    <row r="183" spans="1:6" ht="29.45" customHeight="1">
      <c r="A183" s="647">
        <v>101</v>
      </c>
      <c r="B183" s="646" t="s">
        <v>1399</v>
      </c>
      <c r="C183" s="645" t="s">
        <v>86</v>
      </c>
      <c r="D183" s="648">
        <v>40000</v>
      </c>
      <c r="E183" s="651"/>
    </row>
    <row r="184" spans="1:6" s="665" customFormat="1" ht="29.45" customHeight="1">
      <c r="A184" s="660">
        <v>102</v>
      </c>
      <c r="B184" s="661" t="s">
        <v>600</v>
      </c>
      <c r="C184" s="662" t="s">
        <v>91</v>
      </c>
      <c r="D184" s="663">
        <v>386784</v>
      </c>
      <c r="E184" s="666"/>
      <c r="F184" s="665" t="s">
        <v>1543</v>
      </c>
    </row>
    <row r="185" spans="1:6" ht="29.45" customHeight="1">
      <c r="A185" s="647">
        <v>103</v>
      </c>
      <c r="B185" s="646" t="s">
        <v>1400</v>
      </c>
      <c r="C185" s="647" t="s">
        <v>91</v>
      </c>
      <c r="D185" s="648">
        <v>377872.6</v>
      </c>
      <c r="E185" s="651"/>
    </row>
    <row r="186" spans="1:6" ht="29.45" customHeight="1">
      <c r="A186" s="647">
        <v>104</v>
      </c>
      <c r="B186" s="646" t="s">
        <v>1401</v>
      </c>
      <c r="C186" s="645" t="s">
        <v>86</v>
      </c>
      <c r="D186" s="648">
        <v>1500</v>
      </c>
      <c r="E186" s="651"/>
    </row>
    <row r="187" spans="1:6" ht="29.45" customHeight="1">
      <c r="A187" s="647">
        <v>105</v>
      </c>
      <c r="B187" s="646" t="s">
        <v>1402</v>
      </c>
      <c r="C187" s="645" t="s">
        <v>86</v>
      </c>
      <c r="D187" s="648">
        <v>2250000</v>
      </c>
      <c r="E187" s="651"/>
    </row>
    <row r="188" spans="1:6" s="665" customFormat="1" ht="29.45" customHeight="1">
      <c r="A188" s="660">
        <v>106</v>
      </c>
      <c r="B188" s="661" t="s">
        <v>1403</v>
      </c>
      <c r="C188" s="662" t="s">
        <v>86</v>
      </c>
      <c r="D188" s="663">
        <v>3590000</v>
      </c>
      <c r="E188" s="666"/>
      <c r="F188" s="665" t="s">
        <v>1543</v>
      </c>
    </row>
    <row r="189" spans="1:6" s="665" customFormat="1" ht="29.45" customHeight="1">
      <c r="A189" s="660">
        <v>107</v>
      </c>
      <c r="B189" s="661" t="s">
        <v>1404</v>
      </c>
      <c r="C189" s="662" t="s">
        <v>86</v>
      </c>
      <c r="D189" s="663">
        <v>3820000</v>
      </c>
      <c r="E189" s="666"/>
      <c r="F189" s="665" t="s">
        <v>1543</v>
      </c>
    </row>
    <row r="190" spans="1:6" ht="29.45" customHeight="1">
      <c r="A190" s="647">
        <v>108</v>
      </c>
      <c r="B190" s="646" t="s">
        <v>1405</v>
      </c>
      <c r="C190" s="647" t="s">
        <v>990</v>
      </c>
      <c r="D190" s="648">
        <v>3030000</v>
      </c>
      <c r="E190" s="651"/>
    </row>
    <row r="191" spans="1:6" s="665" customFormat="1" ht="29.45" customHeight="1">
      <c r="A191" s="660">
        <v>109</v>
      </c>
      <c r="B191" s="661" t="s">
        <v>1406</v>
      </c>
      <c r="C191" s="662" t="s">
        <v>86</v>
      </c>
      <c r="D191" s="663">
        <v>2410000</v>
      </c>
      <c r="E191" s="666"/>
      <c r="F191" s="665" t="s">
        <v>1543</v>
      </c>
    </row>
    <row r="192" spans="1:6" s="665" customFormat="1" ht="29.45" customHeight="1">
      <c r="A192" s="660">
        <v>110</v>
      </c>
      <c r="B192" s="661" t="s">
        <v>1407</v>
      </c>
      <c r="C192" s="662" t="s">
        <v>86</v>
      </c>
      <c r="D192" s="663">
        <v>2650000</v>
      </c>
      <c r="E192" s="666"/>
      <c r="F192" s="665" t="s">
        <v>1543</v>
      </c>
    </row>
    <row r="193" spans="1:6" ht="29.45" customHeight="1">
      <c r="A193" s="647">
        <v>111</v>
      </c>
      <c r="B193" s="646" t="s">
        <v>1408</v>
      </c>
      <c r="C193" s="645" t="s">
        <v>990</v>
      </c>
      <c r="D193" s="648">
        <v>2370000</v>
      </c>
      <c r="E193" s="651"/>
    </row>
    <row r="194" spans="1:6" ht="29.45" customHeight="1">
      <c r="A194" s="647">
        <v>112</v>
      </c>
      <c r="B194" s="646" t="s">
        <v>981</v>
      </c>
      <c r="C194" s="645" t="s">
        <v>990</v>
      </c>
      <c r="D194" s="648">
        <v>2925000</v>
      </c>
      <c r="E194" s="651"/>
    </row>
    <row r="195" spans="1:6" ht="29.45" customHeight="1">
      <c r="A195" s="647">
        <v>113</v>
      </c>
      <c r="B195" s="646" t="s">
        <v>984</v>
      </c>
      <c r="C195" s="645" t="s">
        <v>990</v>
      </c>
      <c r="D195" s="648">
        <v>1177000</v>
      </c>
      <c r="E195" s="651"/>
    </row>
    <row r="196" spans="1:6" ht="29.45" customHeight="1">
      <c r="A196" s="647">
        <v>114</v>
      </c>
      <c r="B196" s="646" t="s">
        <v>983</v>
      </c>
      <c r="C196" s="645" t="s">
        <v>990</v>
      </c>
      <c r="D196" s="648">
        <v>1716000</v>
      </c>
      <c r="E196" s="651"/>
    </row>
    <row r="197" spans="1:6" ht="29.45" customHeight="1">
      <c r="A197" s="647">
        <v>115</v>
      </c>
      <c r="B197" s="646" t="s">
        <v>1409</v>
      </c>
      <c r="C197" s="647" t="s">
        <v>86</v>
      </c>
      <c r="D197" s="648">
        <v>2925000</v>
      </c>
      <c r="E197" s="651"/>
    </row>
    <row r="198" spans="1:6" ht="29.45" customHeight="1">
      <c r="A198" s="647">
        <v>116</v>
      </c>
      <c r="B198" s="646" t="s">
        <v>1410</v>
      </c>
      <c r="C198" s="647" t="s">
        <v>86</v>
      </c>
      <c r="D198" s="648">
        <v>55000</v>
      </c>
      <c r="E198" s="651"/>
    </row>
    <row r="199" spans="1:6" ht="29.45" customHeight="1">
      <c r="A199" s="647">
        <v>117</v>
      </c>
      <c r="B199" s="646" t="s">
        <v>1411</v>
      </c>
      <c r="C199" s="647" t="s">
        <v>86</v>
      </c>
      <c r="D199" s="648">
        <v>20500</v>
      </c>
      <c r="E199" s="651"/>
    </row>
    <row r="200" spans="1:6" ht="29.45" customHeight="1">
      <c r="A200" s="647">
        <v>118</v>
      </c>
      <c r="B200" s="646" t="s">
        <v>1412</v>
      </c>
      <c r="C200" s="647" t="s">
        <v>86</v>
      </c>
      <c r="D200" s="648">
        <v>30000</v>
      </c>
      <c r="E200" s="654"/>
    </row>
    <row r="201" spans="1:6" ht="29.45" customHeight="1">
      <c r="A201" s="647">
        <v>119</v>
      </c>
      <c r="B201" s="646" t="s">
        <v>1413</v>
      </c>
      <c r="C201" s="647" t="s">
        <v>86</v>
      </c>
      <c r="D201" s="648">
        <v>45500</v>
      </c>
      <c r="E201" s="654"/>
    </row>
    <row r="202" spans="1:6" ht="29.45" customHeight="1">
      <c r="A202" s="647">
        <v>120</v>
      </c>
      <c r="B202" s="646" t="s">
        <v>1414</v>
      </c>
      <c r="C202" s="647" t="s">
        <v>1415</v>
      </c>
      <c r="D202" s="648">
        <v>135000</v>
      </c>
      <c r="E202" s="654"/>
    </row>
    <row r="203" spans="1:6" s="665" customFormat="1" ht="29.45" customHeight="1">
      <c r="A203" s="660">
        <v>121</v>
      </c>
      <c r="B203" s="661" t="s">
        <v>593</v>
      </c>
      <c r="C203" s="662" t="s">
        <v>91</v>
      </c>
      <c r="D203" s="663">
        <v>3078324</v>
      </c>
      <c r="E203" s="664"/>
      <c r="F203" s="665" t="s">
        <v>1543</v>
      </c>
    </row>
    <row r="204" spans="1:6" ht="29.45" customHeight="1">
      <c r="A204" s="647">
        <v>122</v>
      </c>
      <c r="B204" s="646" t="s">
        <v>1416</v>
      </c>
      <c r="C204" s="647" t="s">
        <v>87</v>
      </c>
      <c r="D204" s="648">
        <v>1429680</v>
      </c>
      <c r="E204" s="654"/>
    </row>
    <row r="205" spans="1:6" ht="29.45" customHeight="1">
      <c r="A205" s="647">
        <v>123</v>
      </c>
      <c r="B205" s="646" t="s">
        <v>1417</v>
      </c>
      <c r="C205" s="647" t="s">
        <v>86</v>
      </c>
      <c r="D205" s="648">
        <v>130000</v>
      </c>
      <c r="E205" s="654"/>
    </row>
    <row r="206" spans="1:6" ht="29.45" customHeight="1">
      <c r="A206" s="647">
        <v>124</v>
      </c>
      <c r="B206" s="646" t="s">
        <v>1418</v>
      </c>
      <c r="C206" s="647" t="s">
        <v>86</v>
      </c>
      <c r="D206" s="648">
        <v>72000</v>
      </c>
      <c r="E206" s="654"/>
    </row>
    <row r="207" spans="1:6" s="665" customFormat="1" ht="29.45" customHeight="1">
      <c r="A207" s="660">
        <v>125</v>
      </c>
      <c r="B207" s="661" t="s">
        <v>967</v>
      </c>
      <c r="C207" s="662" t="s">
        <v>1419</v>
      </c>
      <c r="D207" s="663">
        <v>315000</v>
      </c>
      <c r="E207" s="664"/>
      <c r="F207" s="665" t="s">
        <v>1543</v>
      </c>
    </row>
    <row r="208" spans="1:6" ht="29.45" customHeight="1">
      <c r="A208" s="647">
        <v>126</v>
      </c>
      <c r="B208" s="646" t="s">
        <v>1420</v>
      </c>
      <c r="C208" s="645" t="s">
        <v>965</v>
      </c>
      <c r="D208" s="648">
        <v>180000</v>
      </c>
      <c r="E208" s="654"/>
    </row>
    <row r="209" spans="1:6" s="665" customFormat="1" ht="29.45" customHeight="1">
      <c r="A209" s="660">
        <v>127</v>
      </c>
      <c r="B209" s="661" t="s">
        <v>969</v>
      </c>
      <c r="C209" s="662" t="s">
        <v>1419</v>
      </c>
      <c r="D209" s="663">
        <v>203000</v>
      </c>
      <c r="E209" s="664"/>
      <c r="F209" s="665" t="s">
        <v>1543</v>
      </c>
    </row>
    <row r="210" spans="1:6" s="665" customFormat="1" ht="29.45" customHeight="1">
      <c r="A210" s="660">
        <v>128</v>
      </c>
      <c r="B210" s="661" t="s">
        <v>1421</v>
      </c>
      <c r="C210" s="660" t="s">
        <v>86</v>
      </c>
      <c r="D210" s="663">
        <v>105000</v>
      </c>
      <c r="E210" s="664"/>
      <c r="F210" s="665" t="s">
        <v>1543</v>
      </c>
    </row>
    <row r="211" spans="1:6" ht="29.45" customHeight="1">
      <c r="A211" s="647">
        <v>129</v>
      </c>
      <c r="B211" s="646" t="s">
        <v>1422</v>
      </c>
      <c r="C211" s="647" t="s">
        <v>1423</v>
      </c>
      <c r="D211" s="648">
        <v>417200</v>
      </c>
      <c r="E211" s="654"/>
    </row>
    <row r="212" spans="1:6" ht="29.45" customHeight="1">
      <c r="A212" s="647">
        <v>130</v>
      </c>
      <c r="B212" s="646" t="s">
        <v>1424</v>
      </c>
      <c r="C212" s="645" t="s">
        <v>1011</v>
      </c>
      <c r="D212" s="648">
        <v>100000</v>
      </c>
      <c r="E212" s="654"/>
    </row>
    <row r="213" spans="1:6" ht="29.45" customHeight="1">
      <c r="A213" s="647">
        <v>131</v>
      </c>
      <c r="B213" s="646" t="s">
        <v>624</v>
      </c>
      <c r="C213" s="645" t="s">
        <v>86</v>
      </c>
      <c r="D213" s="648">
        <v>105000</v>
      </c>
      <c r="E213" s="654"/>
    </row>
    <row r="214" spans="1:6" ht="29.45" customHeight="1">
      <c r="A214" s="647">
        <v>132</v>
      </c>
      <c r="B214" s="646" t="s">
        <v>1425</v>
      </c>
      <c r="C214" s="645" t="s">
        <v>86</v>
      </c>
      <c r="D214" s="648">
        <v>28930</v>
      </c>
      <c r="E214" s="654"/>
    </row>
    <row r="215" spans="1:6" ht="29.45" customHeight="1">
      <c r="A215" s="647">
        <v>133</v>
      </c>
      <c r="B215" s="646" t="s">
        <v>1426</v>
      </c>
      <c r="C215" s="645" t="s">
        <v>86</v>
      </c>
      <c r="D215" s="648">
        <v>42900</v>
      </c>
      <c r="E215" s="654"/>
    </row>
    <row r="216" spans="1:6" s="665" customFormat="1" ht="29.45" customHeight="1">
      <c r="A216" s="660">
        <v>134</v>
      </c>
      <c r="B216" s="667" t="s">
        <v>1427</v>
      </c>
      <c r="C216" s="662" t="s">
        <v>86</v>
      </c>
      <c r="D216" s="663">
        <v>37442</v>
      </c>
      <c r="E216" s="664"/>
    </row>
    <row r="217" spans="1:6" ht="29.45" customHeight="1">
      <c r="A217" s="647">
        <v>135</v>
      </c>
      <c r="B217" s="646" t="s">
        <v>1428</v>
      </c>
      <c r="C217" s="647" t="s">
        <v>86</v>
      </c>
      <c r="D217" s="648">
        <v>41000</v>
      </c>
      <c r="E217" s="654"/>
    </row>
    <row r="218" spans="1:6" s="665" customFormat="1" ht="29.45" customHeight="1">
      <c r="A218" s="660">
        <v>136</v>
      </c>
      <c r="B218" s="667" t="s">
        <v>877</v>
      </c>
      <c r="C218" s="662" t="s">
        <v>86</v>
      </c>
      <c r="D218" s="663">
        <v>19000</v>
      </c>
      <c r="E218" s="664"/>
      <c r="F218" s="665" t="s">
        <v>1543</v>
      </c>
    </row>
    <row r="219" spans="1:6" ht="29.45" customHeight="1">
      <c r="A219" s="647">
        <v>137</v>
      </c>
      <c r="B219" s="646" t="s">
        <v>1429</v>
      </c>
      <c r="C219" s="645" t="s">
        <v>86</v>
      </c>
      <c r="D219" s="648">
        <v>33005</v>
      </c>
      <c r="E219" s="654"/>
    </row>
    <row r="220" spans="1:6" ht="29.45" customHeight="1">
      <c r="A220" s="647">
        <v>138</v>
      </c>
      <c r="B220" s="646" t="s">
        <v>1430</v>
      </c>
      <c r="C220" s="647" t="s">
        <v>86</v>
      </c>
      <c r="D220" s="648">
        <v>13900</v>
      </c>
      <c r="E220" s="654"/>
    </row>
    <row r="221" spans="1:6" ht="29.45" customHeight="1">
      <c r="A221" s="647">
        <v>139</v>
      </c>
      <c r="B221" s="646" t="s">
        <v>1431</v>
      </c>
      <c r="C221" s="645" t="s">
        <v>86</v>
      </c>
      <c r="D221" s="648">
        <v>135000</v>
      </c>
      <c r="E221" s="654"/>
    </row>
    <row r="222" spans="1:6" s="665" customFormat="1" ht="29.45" customHeight="1">
      <c r="A222" s="660">
        <v>140</v>
      </c>
      <c r="B222" s="661" t="s">
        <v>1432</v>
      </c>
      <c r="C222" s="662" t="s">
        <v>86</v>
      </c>
      <c r="D222" s="663">
        <v>62500</v>
      </c>
      <c r="E222" s="664"/>
      <c r="F222" s="665" t="s">
        <v>1543</v>
      </c>
    </row>
    <row r="223" spans="1:6" ht="29.45" customHeight="1">
      <c r="A223" s="647">
        <v>141</v>
      </c>
      <c r="B223" s="646" t="s">
        <v>1433</v>
      </c>
      <c r="C223" s="645" t="s">
        <v>86</v>
      </c>
      <c r="D223" s="648">
        <v>110100</v>
      </c>
      <c r="E223" s="654"/>
    </row>
    <row r="224" spans="1:6" ht="29.45" customHeight="1">
      <c r="A224" s="647">
        <v>142</v>
      </c>
      <c r="B224" s="646" t="s">
        <v>1434</v>
      </c>
      <c r="C224" s="645" t="s">
        <v>86</v>
      </c>
      <c r="D224" s="648">
        <v>153000</v>
      </c>
      <c r="E224" s="654"/>
    </row>
    <row r="225" spans="1:6" ht="29.45" customHeight="1">
      <c r="A225" s="647">
        <v>143</v>
      </c>
      <c r="B225" s="646" t="s">
        <v>1435</v>
      </c>
      <c r="C225" s="647" t="s">
        <v>87</v>
      </c>
      <c r="D225" s="648">
        <v>17388</v>
      </c>
      <c r="E225" s="654"/>
    </row>
    <row r="226" spans="1:6" ht="29.45" customHeight="1">
      <c r="A226" s="647">
        <v>144</v>
      </c>
      <c r="B226" s="659" t="s">
        <v>1436</v>
      </c>
      <c r="C226" s="645" t="s">
        <v>86</v>
      </c>
      <c r="D226" s="648">
        <v>37000</v>
      </c>
      <c r="E226" s="654"/>
    </row>
    <row r="227" spans="1:6" s="665" customFormat="1" ht="29.45" customHeight="1">
      <c r="A227" s="660">
        <v>145</v>
      </c>
      <c r="B227" s="661" t="s">
        <v>1437</v>
      </c>
      <c r="C227" s="662" t="s">
        <v>86</v>
      </c>
      <c r="D227" s="663">
        <v>37000</v>
      </c>
      <c r="E227" s="664"/>
      <c r="F227" s="665" t="s">
        <v>1543</v>
      </c>
    </row>
    <row r="228" spans="1:6" ht="29.45" customHeight="1">
      <c r="A228" s="647">
        <v>146</v>
      </c>
      <c r="B228" s="646" t="s">
        <v>1438</v>
      </c>
      <c r="C228" s="645" t="s">
        <v>86</v>
      </c>
      <c r="D228" s="648">
        <v>62500</v>
      </c>
      <c r="E228" s="654"/>
    </row>
    <row r="229" spans="1:6" s="665" customFormat="1" ht="29.45" customHeight="1">
      <c r="A229" s="660">
        <v>147</v>
      </c>
      <c r="B229" s="667" t="s">
        <v>1008</v>
      </c>
      <c r="C229" s="662" t="s">
        <v>86</v>
      </c>
      <c r="D229" s="663">
        <v>47800</v>
      </c>
      <c r="E229" s="664"/>
      <c r="F229" s="665" t="s">
        <v>1543</v>
      </c>
    </row>
    <row r="230" spans="1:6" ht="29.45" customHeight="1">
      <c r="A230" s="647">
        <v>148</v>
      </c>
      <c r="B230" s="646" t="s">
        <v>1439</v>
      </c>
      <c r="C230" s="647" t="s">
        <v>86</v>
      </c>
      <c r="D230" s="648">
        <v>13400</v>
      </c>
      <c r="E230" s="654"/>
    </row>
    <row r="231" spans="1:6" ht="29.45" customHeight="1">
      <c r="A231" s="647">
        <v>149</v>
      </c>
      <c r="B231" s="646" t="s">
        <v>1440</v>
      </c>
      <c r="C231" s="647" t="s">
        <v>86</v>
      </c>
      <c r="D231" s="648">
        <v>44000</v>
      </c>
      <c r="E231" s="654"/>
    </row>
    <row r="232" spans="1:6" ht="29.45" customHeight="1">
      <c r="A232" s="647">
        <v>150</v>
      </c>
      <c r="B232" s="646" t="s">
        <v>1441</v>
      </c>
      <c r="C232" s="647" t="s">
        <v>86</v>
      </c>
      <c r="D232" s="648">
        <v>218400</v>
      </c>
      <c r="E232" s="654"/>
    </row>
    <row r="233" spans="1:6" ht="29.45" customHeight="1">
      <c r="A233" s="647">
        <v>151</v>
      </c>
      <c r="B233" s="649" t="s">
        <v>1442</v>
      </c>
      <c r="C233" s="645" t="s">
        <v>1277</v>
      </c>
      <c r="D233" s="648">
        <v>354000</v>
      </c>
      <c r="E233" s="654"/>
    </row>
    <row r="234" spans="1:6" ht="29.45" customHeight="1">
      <c r="A234" s="647">
        <v>152</v>
      </c>
      <c r="B234" s="646" t="s">
        <v>1443</v>
      </c>
      <c r="C234" s="647" t="s">
        <v>86</v>
      </c>
      <c r="D234" s="648">
        <v>25000</v>
      </c>
      <c r="E234" s="654"/>
    </row>
    <row r="235" spans="1:6" ht="29.45" customHeight="1">
      <c r="A235" s="647">
        <v>153</v>
      </c>
      <c r="B235" s="646" t="s">
        <v>1444</v>
      </c>
      <c r="C235" s="647" t="s">
        <v>86</v>
      </c>
      <c r="D235" s="648">
        <v>25000</v>
      </c>
      <c r="E235" s="654"/>
    </row>
    <row r="236" spans="1:6" ht="29.45" customHeight="1">
      <c r="A236" s="647">
        <v>154</v>
      </c>
      <c r="B236" s="646" t="s">
        <v>1445</v>
      </c>
      <c r="C236" s="647" t="s">
        <v>86</v>
      </c>
      <c r="D236" s="648">
        <v>15000</v>
      </c>
      <c r="E236" s="654"/>
    </row>
    <row r="237" spans="1:6" ht="29.45" customHeight="1">
      <c r="A237" s="647">
        <v>155</v>
      </c>
      <c r="B237" s="646" t="s">
        <v>1446</v>
      </c>
      <c r="C237" s="647" t="s">
        <v>86</v>
      </c>
      <c r="D237" s="648">
        <v>16300</v>
      </c>
      <c r="E237" s="654"/>
    </row>
    <row r="238" spans="1:6" ht="29.45" customHeight="1">
      <c r="A238" s="647">
        <v>156</v>
      </c>
      <c r="B238" s="646" t="s">
        <v>1447</v>
      </c>
      <c r="C238" s="647" t="s">
        <v>86</v>
      </c>
      <c r="D238" s="648">
        <v>47800</v>
      </c>
      <c r="E238" s="654"/>
    </row>
    <row r="239" spans="1:6" ht="29.45" customHeight="1">
      <c r="A239" s="647">
        <v>157</v>
      </c>
      <c r="B239" s="646" t="s">
        <v>1448</v>
      </c>
      <c r="C239" s="647" t="s">
        <v>86</v>
      </c>
      <c r="D239" s="648">
        <v>9000</v>
      </c>
      <c r="E239" s="654"/>
    </row>
    <row r="240" spans="1:6" ht="29.45" customHeight="1">
      <c r="A240" s="647">
        <v>158</v>
      </c>
      <c r="B240" s="646" t="s">
        <v>1449</v>
      </c>
      <c r="C240" s="647" t="s">
        <v>86</v>
      </c>
      <c r="D240" s="648">
        <v>9000</v>
      </c>
      <c r="E240" s="654"/>
    </row>
    <row r="241" spans="1:6" ht="29.45" customHeight="1">
      <c r="A241" s="647">
        <v>159</v>
      </c>
      <c r="B241" s="646" t="s">
        <v>1450</v>
      </c>
      <c r="C241" s="647" t="s">
        <v>86</v>
      </c>
      <c r="D241" s="648">
        <v>13900</v>
      </c>
      <c r="E241" s="654"/>
    </row>
    <row r="242" spans="1:6" ht="29.45" customHeight="1">
      <c r="A242" s="647">
        <v>160</v>
      </c>
      <c r="B242" s="646" t="s">
        <v>1451</v>
      </c>
      <c r="C242" s="647" t="s">
        <v>86</v>
      </c>
      <c r="D242" s="648">
        <v>37000</v>
      </c>
      <c r="E242" s="654"/>
    </row>
    <row r="243" spans="1:6" ht="29.45" customHeight="1">
      <c r="A243" s="647">
        <v>161</v>
      </c>
      <c r="B243" s="646" t="s">
        <v>1452</v>
      </c>
      <c r="C243" s="645" t="s">
        <v>86</v>
      </c>
      <c r="D243" s="648">
        <v>17000</v>
      </c>
      <c r="E243" s="654"/>
    </row>
    <row r="244" spans="1:6" s="665" customFormat="1" ht="29.45" customHeight="1">
      <c r="A244" s="660">
        <v>162</v>
      </c>
      <c r="B244" s="661" t="s">
        <v>1453</v>
      </c>
      <c r="C244" s="660" t="s">
        <v>86</v>
      </c>
      <c r="D244" s="663">
        <v>24000</v>
      </c>
      <c r="E244" s="664"/>
      <c r="F244" s="665" t="s">
        <v>1543</v>
      </c>
    </row>
    <row r="245" spans="1:6" ht="29.45" customHeight="1">
      <c r="A245" s="647">
        <v>163</v>
      </c>
      <c r="B245" s="646" t="s">
        <v>1454</v>
      </c>
      <c r="C245" s="645" t="s">
        <v>86</v>
      </c>
      <c r="D245" s="648">
        <v>24000</v>
      </c>
      <c r="E245" s="654"/>
    </row>
    <row r="246" spans="1:6" s="665" customFormat="1" ht="29.45" customHeight="1">
      <c r="A246" s="660">
        <v>164</v>
      </c>
      <c r="B246" s="667" t="s">
        <v>971</v>
      </c>
      <c r="C246" s="662" t="s">
        <v>86</v>
      </c>
      <c r="D246" s="663">
        <v>32500</v>
      </c>
      <c r="E246" s="664"/>
      <c r="F246" s="665" t="s">
        <v>1543</v>
      </c>
    </row>
    <row r="247" spans="1:6" ht="29.45" customHeight="1">
      <c r="A247" s="647">
        <v>165</v>
      </c>
      <c r="B247" s="646" t="s">
        <v>1455</v>
      </c>
      <c r="C247" s="645" t="s">
        <v>86</v>
      </c>
      <c r="D247" s="648">
        <v>36000</v>
      </c>
      <c r="E247" s="654"/>
    </row>
    <row r="248" spans="1:6" s="665" customFormat="1" ht="29.45" customHeight="1">
      <c r="A248" s="660">
        <v>166</v>
      </c>
      <c r="B248" s="661" t="s">
        <v>1456</v>
      </c>
      <c r="C248" s="660" t="s">
        <v>86</v>
      </c>
      <c r="D248" s="663">
        <v>2000</v>
      </c>
      <c r="E248" s="664"/>
      <c r="F248" s="665" t="s">
        <v>1543</v>
      </c>
    </row>
    <row r="249" spans="1:6" s="665" customFormat="1" ht="29.45" customHeight="1">
      <c r="A249" s="660">
        <v>167</v>
      </c>
      <c r="B249" s="667" t="s">
        <v>972</v>
      </c>
      <c r="C249" s="662" t="s">
        <v>86</v>
      </c>
      <c r="D249" s="663">
        <v>81000</v>
      </c>
      <c r="E249" s="664"/>
      <c r="F249" s="665" t="s">
        <v>1543</v>
      </c>
    </row>
    <row r="250" spans="1:6" ht="29.45" customHeight="1">
      <c r="A250" s="647">
        <v>168</v>
      </c>
      <c r="B250" s="646" t="s">
        <v>798</v>
      </c>
      <c r="C250" s="645" t="s">
        <v>86</v>
      </c>
      <c r="D250" s="648">
        <v>132600</v>
      </c>
      <c r="E250" s="654"/>
    </row>
    <row r="251" spans="1:6" s="665" customFormat="1" ht="29.45" customHeight="1">
      <c r="A251" s="660">
        <v>169</v>
      </c>
      <c r="B251" s="667" t="s">
        <v>973</v>
      </c>
      <c r="C251" s="662" t="s">
        <v>86</v>
      </c>
      <c r="D251" s="663">
        <v>144500</v>
      </c>
      <c r="E251" s="664"/>
      <c r="F251" s="665" t="s">
        <v>1543</v>
      </c>
    </row>
    <row r="252" spans="1:6" ht="29.45" customHeight="1">
      <c r="A252" s="647">
        <v>170</v>
      </c>
      <c r="B252" s="646" t="s">
        <v>1457</v>
      </c>
      <c r="C252" s="647" t="s">
        <v>86</v>
      </c>
      <c r="D252" s="648">
        <v>201000</v>
      </c>
      <c r="E252" s="654"/>
    </row>
    <row r="253" spans="1:6" ht="29.45" customHeight="1">
      <c r="A253" s="647">
        <v>171</v>
      </c>
      <c r="B253" s="646" t="s">
        <v>1458</v>
      </c>
      <c r="C253" s="647" t="s">
        <v>86</v>
      </c>
      <c r="D253" s="648">
        <v>201000</v>
      </c>
      <c r="E253" s="654"/>
    </row>
    <row r="254" spans="1:6" ht="29.45" customHeight="1">
      <c r="A254" s="647">
        <v>172</v>
      </c>
      <c r="B254" s="646" t="s">
        <v>1459</v>
      </c>
      <c r="C254" s="647" t="s">
        <v>87</v>
      </c>
      <c r="D254" s="648">
        <v>230000</v>
      </c>
      <c r="E254" s="654"/>
    </row>
    <row r="255" spans="1:6" ht="29.45" customHeight="1">
      <c r="A255" s="647">
        <v>173</v>
      </c>
      <c r="B255" s="646" t="s">
        <v>1460</v>
      </c>
      <c r="C255" s="647" t="s">
        <v>1461</v>
      </c>
      <c r="D255" s="648">
        <v>120000</v>
      </c>
      <c r="E255" s="654"/>
    </row>
    <row r="256" spans="1:6" ht="29.45" customHeight="1">
      <c r="A256" s="647">
        <v>174</v>
      </c>
      <c r="B256" s="649" t="s">
        <v>1462</v>
      </c>
      <c r="C256" s="645" t="s">
        <v>87</v>
      </c>
      <c r="D256" s="648">
        <v>129000</v>
      </c>
      <c r="E256" s="654"/>
    </row>
    <row r="257" spans="1:6" s="665" customFormat="1" ht="29.45" customHeight="1">
      <c r="A257" s="660">
        <v>175</v>
      </c>
      <c r="B257" s="661" t="s">
        <v>666</v>
      </c>
      <c r="C257" s="660" t="s">
        <v>86</v>
      </c>
      <c r="D257" s="663">
        <v>3000</v>
      </c>
      <c r="E257" s="664"/>
      <c r="F257" s="665" t="s">
        <v>1543</v>
      </c>
    </row>
    <row r="258" spans="1:6" s="665" customFormat="1" ht="29.45" customHeight="1">
      <c r="A258" s="660">
        <v>176</v>
      </c>
      <c r="B258" s="667" t="s">
        <v>88</v>
      </c>
      <c r="C258" s="662" t="s">
        <v>86</v>
      </c>
      <c r="D258" s="663">
        <v>2000</v>
      </c>
      <c r="E258" s="664"/>
      <c r="F258" s="665" t="s">
        <v>1543</v>
      </c>
    </row>
    <row r="259" spans="1:6" ht="29.45" customHeight="1">
      <c r="A259" s="647">
        <v>177</v>
      </c>
      <c r="B259" s="646" t="s">
        <v>1463</v>
      </c>
      <c r="C259" s="647" t="s">
        <v>86</v>
      </c>
      <c r="D259" s="648">
        <v>9000</v>
      </c>
      <c r="E259" s="654"/>
    </row>
    <row r="260" spans="1:6" ht="29.45" customHeight="1">
      <c r="A260" s="647">
        <v>178</v>
      </c>
      <c r="B260" s="646" t="s">
        <v>1464</v>
      </c>
      <c r="C260" s="645" t="s">
        <v>86</v>
      </c>
      <c r="D260" s="648">
        <v>9100</v>
      </c>
      <c r="E260" s="654"/>
    </row>
    <row r="261" spans="1:6" ht="29.45" customHeight="1">
      <c r="A261" s="647">
        <v>179</v>
      </c>
      <c r="B261" s="646" t="s">
        <v>1465</v>
      </c>
      <c r="C261" s="647" t="s">
        <v>86</v>
      </c>
      <c r="D261" s="648">
        <v>330545</v>
      </c>
      <c r="E261" s="654"/>
    </row>
    <row r="262" spans="1:6" ht="29.45" customHeight="1">
      <c r="A262" s="647">
        <v>180</v>
      </c>
      <c r="B262" s="646" t="s">
        <v>1466</v>
      </c>
      <c r="C262" s="645" t="s">
        <v>86</v>
      </c>
      <c r="D262" s="648">
        <v>65000</v>
      </c>
      <c r="E262" s="654"/>
    </row>
    <row r="263" spans="1:6" s="665" customFormat="1" ht="29.45" customHeight="1">
      <c r="A263" s="660">
        <v>181</v>
      </c>
      <c r="B263" s="667" t="s">
        <v>966</v>
      </c>
      <c r="C263" s="662" t="s">
        <v>86</v>
      </c>
      <c r="D263" s="663">
        <v>25000</v>
      </c>
      <c r="E263" s="664"/>
      <c r="F263" s="665" t="s">
        <v>1543</v>
      </c>
    </row>
    <row r="264" spans="1:6" s="665" customFormat="1" ht="29.45" customHeight="1">
      <c r="A264" s="660">
        <v>182</v>
      </c>
      <c r="B264" s="661" t="s">
        <v>1467</v>
      </c>
      <c r="C264" s="660" t="s">
        <v>86</v>
      </c>
      <c r="D264" s="663">
        <v>25000</v>
      </c>
      <c r="E264" s="664"/>
      <c r="F264" s="665" t="s">
        <v>1543</v>
      </c>
    </row>
    <row r="265" spans="1:6" ht="29.45" customHeight="1">
      <c r="A265" s="647">
        <v>183</v>
      </c>
      <c r="B265" s="646" t="s">
        <v>1468</v>
      </c>
      <c r="C265" s="647" t="s">
        <v>86</v>
      </c>
      <c r="D265" s="648">
        <v>3200</v>
      </c>
      <c r="E265" s="654"/>
    </row>
    <row r="266" spans="1:6" ht="29.45" customHeight="1">
      <c r="A266" s="647">
        <v>184</v>
      </c>
      <c r="B266" s="646" t="s">
        <v>1469</v>
      </c>
      <c r="C266" s="647" t="s">
        <v>86</v>
      </c>
      <c r="D266" s="648">
        <v>3200</v>
      </c>
      <c r="E266" s="654"/>
    </row>
    <row r="267" spans="1:6" ht="29.45" customHeight="1">
      <c r="A267" s="647">
        <v>185</v>
      </c>
      <c r="B267" s="646" t="s">
        <v>1470</v>
      </c>
      <c r="C267" s="647" t="s">
        <v>86</v>
      </c>
      <c r="D267" s="648">
        <v>3200</v>
      </c>
      <c r="E267" s="654"/>
    </row>
    <row r="268" spans="1:6" ht="29.45" customHeight="1">
      <c r="A268" s="647">
        <v>186</v>
      </c>
      <c r="B268" s="646" t="s">
        <v>1471</v>
      </c>
      <c r="C268" s="647" t="s">
        <v>86</v>
      </c>
      <c r="D268" s="648">
        <v>3200</v>
      </c>
      <c r="E268" s="654"/>
    </row>
    <row r="269" spans="1:6" ht="29.45" customHeight="1">
      <c r="A269" s="647">
        <v>187</v>
      </c>
      <c r="B269" s="649" t="s">
        <v>1472</v>
      </c>
      <c r="C269" s="645" t="s">
        <v>1277</v>
      </c>
      <c r="D269" s="648">
        <v>60000</v>
      </c>
      <c r="E269" s="654"/>
    </row>
    <row r="270" spans="1:6" ht="29.45" customHeight="1">
      <c r="A270" s="647">
        <v>188</v>
      </c>
      <c r="B270" s="646" t="s">
        <v>1473</v>
      </c>
      <c r="C270" s="647" t="s">
        <v>86</v>
      </c>
      <c r="D270" s="648">
        <v>53000</v>
      </c>
      <c r="E270" s="654"/>
    </row>
    <row r="271" spans="1:6" ht="29.45" customHeight="1">
      <c r="A271" s="647">
        <v>189</v>
      </c>
      <c r="B271" s="646" t="s">
        <v>1474</v>
      </c>
      <c r="C271" s="645" t="s">
        <v>87</v>
      </c>
      <c r="D271" s="648">
        <v>270000</v>
      </c>
      <c r="E271" s="654"/>
    </row>
    <row r="272" spans="1:6" ht="29.45" customHeight="1">
      <c r="A272" s="647">
        <v>190</v>
      </c>
      <c r="B272" s="646" t="s">
        <v>1475</v>
      </c>
      <c r="C272" s="645" t="s">
        <v>87</v>
      </c>
      <c r="D272" s="648">
        <v>170000</v>
      </c>
      <c r="E272" s="654"/>
    </row>
    <row r="273" spans="1:6" s="665" customFormat="1" ht="29.45" customHeight="1">
      <c r="A273" s="660">
        <v>191</v>
      </c>
      <c r="B273" s="667" t="s">
        <v>711</v>
      </c>
      <c r="C273" s="662" t="s">
        <v>86</v>
      </c>
      <c r="D273" s="663">
        <v>35000</v>
      </c>
      <c r="E273" s="664"/>
      <c r="F273" s="665" t="s">
        <v>1543</v>
      </c>
    </row>
    <row r="274" spans="1:6" s="665" customFormat="1" ht="29.45" customHeight="1">
      <c r="A274" s="660">
        <v>192</v>
      </c>
      <c r="B274" s="667" t="s">
        <v>712</v>
      </c>
      <c r="C274" s="662" t="s">
        <v>86</v>
      </c>
      <c r="D274" s="663">
        <v>25000</v>
      </c>
      <c r="E274" s="664"/>
      <c r="F274" s="665" t="s">
        <v>1543</v>
      </c>
    </row>
    <row r="275" spans="1:6" s="665" customFormat="1" ht="29.45" customHeight="1">
      <c r="A275" s="660">
        <v>193</v>
      </c>
      <c r="B275" s="667" t="s">
        <v>707</v>
      </c>
      <c r="C275" s="662" t="s">
        <v>86</v>
      </c>
      <c r="D275" s="663">
        <v>137500</v>
      </c>
      <c r="E275" s="664"/>
      <c r="F275" s="665" t="s">
        <v>1543</v>
      </c>
    </row>
    <row r="276" spans="1:6" s="665" customFormat="1" ht="29.45" customHeight="1">
      <c r="A276" s="660">
        <v>194</v>
      </c>
      <c r="B276" s="667" t="s">
        <v>706</v>
      </c>
      <c r="C276" s="662" t="s">
        <v>86</v>
      </c>
      <c r="D276" s="663">
        <v>155500</v>
      </c>
      <c r="E276" s="664"/>
      <c r="F276" s="665" t="s">
        <v>1543</v>
      </c>
    </row>
    <row r="277" spans="1:6" s="665" customFormat="1" ht="29.45" customHeight="1">
      <c r="A277" s="660">
        <v>195</v>
      </c>
      <c r="B277" s="667" t="s">
        <v>594</v>
      </c>
      <c r="C277" s="662" t="s">
        <v>91</v>
      </c>
      <c r="D277" s="663">
        <v>10000</v>
      </c>
      <c r="E277" s="664"/>
      <c r="F277" s="665" t="s">
        <v>1543</v>
      </c>
    </row>
    <row r="278" spans="1:6" s="665" customFormat="1" ht="29.45" customHeight="1">
      <c r="A278" s="660">
        <v>196</v>
      </c>
      <c r="B278" s="667" t="s">
        <v>1476</v>
      </c>
      <c r="C278" s="662" t="s">
        <v>86</v>
      </c>
      <c r="D278" s="663">
        <v>70000</v>
      </c>
      <c r="E278" s="664"/>
      <c r="F278" s="665" t="s">
        <v>1543</v>
      </c>
    </row>
    <row r="279" spans="1:6" ht="29.45" customHeight="1">
      <c r="A279" s="647">
        <v>197</v>
      </c>
      <c r="B279" s="646" t="s">
        <v>1477</v>
      </c>
      <c r="C279" s="645" t="s">
        <v>86</v>
      </c>
      <c r="D279" s="648">
        <v>199000</v>
      </c>
      <c r="E279" s="654"/>
    </row>
    <row r="280" spans="1:6" ht="29.45" customHeight="1">
      <c r="A280" s="647">
        <v>198</v>
      </c>
      <c r="B280" s="646" t="s">
        <v>1478</v>
      </c>
      <c r="C280" s="647" t="s">
        <v>86</v>
      </c>
      <c r="D280" s="648">
        <v>30000</v>
      </c>
      <c r="E280" s="654"/>
    </row>
    <row r="281" spans="1:6" ht="29.45" customHeight="1">
      <c r="A281" s="647">
        <v>199</v>
      </c>
      <c r="B281" s="646" t="s">
        <v>1479</v>
      </c>
      <c r="C281" s="645" t="s">
        <v>86</v>
      </c>
      <c r="D281" s="648">
        <v>25000</v>
      </c>
      <c r="E281" s="654"/>
    </row>
    <row r="282" spans="1:6" ht="29.45" customHeight="1">
      <c r="A282" s="647">
        <v>200</v>
      </c>
      <c r="B282" s="646" t="s">
        <v>1480</v>
      </c>
      <c r="C282" s="647" t="s">
        <v>86</v>
      </c>
      <c r="D282" s="648">
        <v>25000</v>
      </c>
      <c r="E282" s="654"/>
    </row>
    <row r="283" spans="1:6" ht="29.45" customHeight="1">
      <c r="A283" s="647">
        <v>201</v>
      </c>
      <c r="B283" s="646" t="s">
        <v>1481</v>
      </c>
      <c r="C283" s="645" t="s">
        <v>1011</v>
      </c>
      <c r="D283" s="648">
        <v>30000</v>
      </c>
      <c r="E283" s="654"/>
    </row>
    <row r="284" spans="1:6" ht="29.45" customHeight="1">
      <c r="A284" s="647">
        <v>202</v>
      </c>
      <c r="B284" s="649" t="s">
        <v>1482</v>
      </c>
      <c r="C284" s="645" t="s">
        <v>1483</v>
      </c>
      <c r="D284" s="648">
        <v>921850</v>
      </c>
      <c r="E284" s="654"/>
    </row>
    <row r="285" spans="1:6" ht="29.45" customHeight="1">
      <c r="A285" s="647">
        <v>203</v>
      </c>
      <c r="B285" s="646" t="s">
        <v>1484</v>
      </c>
      <c r="C285" s="647" t="s">
        <v>86</v>
      </c>
      <c r="D285" s="648">
        <v>683000</v>
      </c>
      <c r="E285" s="654"/>
    </row>
    <row r="286" spans="1:6" ht="29.45" customHeight="1">
      <c r="A286" s="647">
        <v>204</v>
      </c>
      <c r="B286" s="646" t="s">
        <v>1485</v>
      </c>
      <c r="C286" s="647" t="s">
        <v>86</v>
      </c>
      <c r="D286" s="648">
        <v>583000</v>
      </c>
      <c r="E286" s="654"/>
    </row>
    <row r="287" spans="1:6" ht="29.45" customHeight="1">
      <c r="A287" s="647">
        <v>205</v>
      </c>
      <c r="B287" s="646" t="s">
        <v>1486</v>
      </c>
      <c r="C287" s="647" t="s">
        <v>86</v>
      </c>
      <c r="D287" s="648">
        <v>68670</v>
      </c>
      <c r="E287" s="654"/>
    </row>
    <row r="288" spans="1:6" ht="29.45" customHeight="1">
      <c r="A288" s="647">
        <v>206</v>
      </c>
      <c r="B288" s="646" t="s">
        <v>1487</v>
      </c>
      <c r="C288" s="647" t="s">
        <v>86</v>
      </c>
      <c r="D288" s="648">
        <v>107310</v>
      </c>
      <c r="E288" s="654"/>
    </row>
    <row r="289" spans="1:6" s="665" customFormat="1" ht="29.45" customHeight="1">
      <c r="A289" s="660">
        <v>207</v>
      </c>
      <c r="B289" s="667" t="s">
        <v>1062</v>
      </c>
      <c r="C289" s="662" t="s">
        <v>86</v>
      </c>
      <c r="D289" s="663">
        <v>64700</v>
      </c>
      <c r="E289" s="664"/>
      <c r="F289" s="665" t="s">
        <v>1543</v>
      </c>
    </row>
    <row r="290" spans="1:6" s="665" customFormat="1" ht="29.45" customHeight="1">
      <c r="A290" s="660">
        <v>208</v>
      </c>
      <c r="B290" s="667" t="s">
        <v>1061</v>
      </c>
      <c r="C290" s="662" t="s">
        <v>86</v>
      </c>
      <c r="D290" s="663">
        <v>18100</v>
      </c>
      <c r="E290" s="664"/>
      <c r="F290" s="665" t="s">
        <v>1543</v>
      </c>
    </row>
    <row r="291" spans="1:6" s="665" customFormat="1" ht="29.45" customHeight="1">
      <c r="A291" s="660">
        <v>209</v>
      </c>
      <c r="B291" s="667" t="s">
        <v>879</v>
      </c>
      <c r="C291" s="662" t="s">
        <v>1011</v>
      </c>
      <c r="D291" s="663">
        <v>28100</v>
      </c>
      <c r="E291" s="664"/>
      <c r="F291" s="665" t="s">
        <v>1543</v>
      </c>
    </row>
    <row r="292" spans="1:6" s="665" customFormat="1" ht="29.45" customHeight="1">
      <c r="A292" s="660">
        <v>210</v>
      </c>
      <c r="B292" s="667" t="s">
        <v>710</v>
      </c>
      <c r="C292" s="662" t="s">
        <v>86</v>
      </c>
      <c r="D292" s="663">
        <v>25960</v>
      </c>
      <c r="E292" s="664"/>
      <c r="F292" s="665" t="s">
        <v>1543</v>
      </c>
    </row>
    <row r="293" spans="1:6" s="665" customFormat="1" ht="29.45" customHeight="1">
      <c r="A293" s="660">
        <v>211</v>
      </c>
      <c r="B293" s="667" t="s">
        <v>708</v>
      </c>
      <c r="C293" s="662" t="s">
        <v>86</v>
      </c>
      <c r="D293" s="663">
        <v>34100</v>
      </c>
      <c r="E293" s="664"/>
      <c r="F293" s="665" t="s">
        <v>1543</v>
      </c>
    </row>
    <row r="294" spans="1:6" ht="29.45" customHeight="1">
      <c r="A294" s="647">
        <v>212</v>
      </c>
      <c r="B294" s="646" t="s">
        <v>1488</v>
      </c>
      <c r="C294" s="647" t="s">
        <v>1011</v>
      </c>
      <c r="D294" s="648">
        <v>124000</v>
      </c>
      <c r="E294" s="654"/>
    </row>
    <row r="295" spans="1:6" ht="29.45" customHeight="1">
      <c r="A295" s="647">
        <v>213</v>
      </c>
      <c r="B295" s="646" t="s">
        <v>1489</v>
      </c>
      <c r="C295" s="647" t="s">
        <v>1011</v>
      </c>
      <c r="D295" s="648">
        <v>139333</v>
      </c>
      <c r="E295" s="654"/>
    </row>
    <row r="296" spans="1:6" ht="29.45" customHeight="1">
      <c r="A296" s="647">
        <v>214</v>
      </c>
      <c r="B296" s="646" t="s">
        <v>1490</v>
      </c>
      <c r="C296" s="647" t="s">
        <v>1011</v>
      </c>
      <c r="D296" s="648">
        <v>65000</v>
      </c>
      <c r="E296" s="654"/>
    </row>
    <row r="297" spans="1:6" ht="29.45" customHeight="1">
      <c r="A297" s="647">
        <v>215</v>
      </c>
      <c r="B297" s="646" t="s">
        <v>1491</v>
      </c>
      <c r="C297" s="647" t="s">
        <v>1011</v>
      </c>
      <c r="D297" s="648">
        <v>78000</v>
      </c>
      <c r="E297" s="654"/>
    </row>
    <row r="298" spans="1:6" ht="29.45" customHeight="1">
      <c r="A298" s="647">
        <v>216</v>
      </c>
      <c r="B298" s="646" t="s">
        <v>1492</v>
      </c>
      <c r="C298" s="647" t="s">
        <v>1011</v>
      </c>
      <c r="D298" s="648">
        <v>91000</v>
      </c>
      <c r="E298" s="654"/>
    </row>
    <row r="299" spans="1:6" ht="29.45" customHeight="1">
      <c r="A299" s="647">
        <v>217</v>
      </c>
      <c r="B299" s="649" t="s">
        <v>1493</v>
      </c>
      <c r="C299" s="645" t="s">
        <v>1277</v>
      </c>
      <c r="D299" s="648">
        <v>65000</v>
      </c>
      <c r="E299" s="654"/>
    </row>
    <row r="300" spans="1:6" ht="29.45" customHeight="1">
      <c r="A300" s="647">
        <v>218</v>
      </c>
      <c r="B300" s="646" t="s">
        <v>1494</v>
      </c>
      <c r="C300" s="647" t="s">
        <v>86</v>
      </c>
      <c r="D300" s="648">
        <v>150000</v>
      </c>
      <c r="E300" s="654"/>
    </row>
    <row r="301" spans="1:6" ht="29.45" customHeight="1">
      <c r="A301" s="647">
        <v>219</v>
      </c>
      <c r="B301" s="646" t="s">
        <v>1495</v>
      </c>
      <c r="C301" s="647" t="s">
        <v>1223</v>
      </c>
      <c r="D301" s="648">
        <v>148182</v>
      </c>
      <c r="E301" s="654"/>
    </row>
    <row r="302" spans="1:6" s="665" customFormat="1" ht="29.45" customHeight="1">
      <c r="A302" s="660">
        <v>220</v>
      </c>
      <c r="B302" s="667" t="s">
        <v>709</v>
      </c>
      <c r="C302" s="662" t="s">
        <v>99</v>
      </c>
      <c r="D302" s="663">
        <v>192727</v>
      </c>
      <c r="E302" s="664"/>
      <c r="F302" s="665" t="s">
        <v>1543</v>
      </c>
    </row>
    <row r="303" spans="1:6" s="665" customFormat="1" ht="29.45" customHeight="1">
      <c r="A303" s="660">
        <v>221</v>
      </c>
      <c r="B303" s="667" t="s">
        <v>705</v>
      </c>
      <c r="C303" s="662" t="s">
        <v>99</v>
      </c>
      <c r="D303" s="663">
        <v>249989</v>
      </c>
      <c r="E303" s="664"/>
      <c r="F303" s="665" t="s">
        <v>1543</v>
      </c>
    </row>
    <row r="304" spans="1:6" ht="29.45" customHeight="1">
      <c r="A304" s="647">
        <v>222</v>
      </c>
      <c r="B304" s="646" t="s">
        <v>1496</v>
      </c>
      <c r="C304" s="645" t="s">
        <v>99</v>
      </c>
      <c r="D304" s="648">
        <v>166200</v>
      </c>
      <c r="E304" s="654"/>
    </row>
    <row r="305" spans="1:5" ht="29.45" customHeight="1">
      <c r="A305" s="647">
        <v>223</v>
      </c>
      <c r="B305" s="646" t="s">
        <v>1497</v>
      </c>
      <c r="C305" s="647" t="s">
        <v>622</v>
      </c>
      <c r="D305" s="648">
        <v>26568</v>
      </c>
      <c r="E305" s="654"/>
    </row>
    <row r="306" spans="1:5" ht="29.45" customHeight="1">
      <c r="A306" s="647">
        <v>224</v>
      </c>
      <c r="B306" s="646" t="s">
        <v>1498</v>
      </c>
      <c r="C306" s="647" t="s">
        <v>99</v>
      </c>
      <c r="D306" s="648">
        <v>26568</v>
      </c>
      <c r="E306" s="654"/>
    </row>
    <row r="307" spans="1:5" ht="29.45" customHeight="1">
      <c r="A307" s="647">
        <v>225</v>
      </c>
      <c r="B307" s="646" t="s">
        <v>1499</v>
      </c>
      <c r="C307" s="645" t="s">
        <v>99</v>
      </c>
      <c r="D307" s="648">
        <v>130680</v>
      </c>
      <c r="E307" s="654"/>
    </row>
    <row r="308" spans="1:5" ht="29.45" customHeight="1">
      <c r="A308" s="647">
        <v>226</v>
      </c>
      <c r="B308" s="646" t="s">
        <v>1500</v>
      </c>
      <c r="C308" s="645" t="s">
        <v>99</v>
      </c>
      <c r="D308" s="648">
        <v>285670</v>
      </c>
      <c r="E308" s="654"/>
    </row>
    <row r="309" spans="1:5" ht="29.45" customHeight="1">
      <c r="A309" s="647">
        <v>227</v>
      </c>
      <c r="B309" s="649" t="s">
        <v>1501</v>
      </c>
      <c r="C309" s="645" t="s">
        <v>99</v>
      </c>
      <c r="D309" s="648">
        <v>15876</v>
      </c>
      <c r="E309" s="654"/>
    </row>
    <row r="310" spans="1:5" ht="29.45" customHeight="1">
      <c r="A310" s="647">
        <v>228</v>
      </c>
      <c r="B310" s="646" t="s">
        <v>1502</v>
      </c>
      <c r="C310" s="645" t="s">
        <v>99</v>
      </c>
      <c r="D310" s="648">
        <v>94820</v>
      </c>
      <c r="E310" s="654"/>
    </row>
    <row r="311" spans="1:5" ht="29.45" customHeight="1">
      <c r="A311" s="647">
        <v>229</v>
      </c>
      <c r="B311" s="646" t="s">
        <v>1503</v>
      </c>
      <c r="C311" s="647" t="s">
        <v>1223</v>
      </c>
      <c r="D311" s="648">
        <v>78100</v>
      </c>
      <c r="E311" s="654"/>
    </row>
    <row r="312" spans="1:5" ht="29.45" customHeight="1">
      <c r="A312" s="647">
        <v>230</v>
      </c>
      <c r="B312" s="646" t="s">
        <v>1504</v>
      </c>
      <c r="C312" s="647" t="s">
        <v>1505</v>
      </c>
      <c r="D312" s="648">
        <v>50000</v>
      </c>
      <c r="E312" s="654"/>
    </row>
    <row r="313" spans="1:5" ht="29.45" customHeight="1">
      <c r="A313" s="647">
        <v>231</v>
      </c>
      <c r="B313" s="649" t="s">
        <v>1506</v>
      </c>
      <c r="C313" s="645" t="s">
        <v>1507</v>
      </c>
      <c r="D313" s="648">
        <v>44000</v>
      </c>
      <c r="E313" s="654"/>
    </row>
    <row r="314" spans="1:5" ht="29.45" customHeight="1">
      <c r="A314" s="647">
        <v>232</v>
      </c>
      <c r="B314" s="646" t="s">
        <v>1508</v>
      </c>
      <c r="C314" s="647" t="s">
        <v>86</v>
      </c>
      <c r="D314" s="648">
        <v>70000</v>
      </c>
      <c r="E314" s="654"/>
    </row>
    <row r="315" spans="1:5" ht="29.45" customHeight="1">
      <c r="A315" s="647">
        <v>233</v>
      </c>
      <c r="B315" s="646" t="s">
        <v>1509</v>
      </c>
      <c r="C315" s="647" t="s">
        <v>87</v>
      </c>
      <c r="D315" s="648">
        <v>90000</v>
      </c>
      <c r="E315" s="654"/>
    </row>
    <row r="316" spans="1:5" ht="29.45" customHeight="1">
      <c r="A316" s="647">
        <v>234</v>
      </c>
      <c r="B316" s="646" t="s">
        <v>1510</v>
      </c>
      <c r="C316" s="647" t="s">
        <v>86</v>
      </c>
      <c r="D316" s="648">
        <v>120000</v>
      </c>
      <c r="E316" s="654"/>
    </row>
    <row r="317" spans="1:5" ht="29.45" customHeight="1">
      <c r="A317" s="647">
        <v>235</v>
      </c>
      <c r="B317" s="646" t="s">
        <v>1511</v>
      </c>
      <c r="C317" s="647" t="s">
        <v>86</v>
      </c>
      <c r="D317" s="648">
        <v>20000</v>
      </c>
      <c r="E317" s="654"/>
    </row>
    <row r="318" spans="1:5" ht="29.45" customHeight="1">
      <c r="A318" s="647">
        <v>236</v>
      </c>
      <c r="B318" s="646" t="s">
        <v>1512</v>
      </c>
      <c r="C318" s="647" t="s">
        <v>86</v>
      </c>
      <c r="D318" s="648">
        <v>30000</v>
      </c>
      <c r="E318" s="654"/>
    </row>
    <row r="319" spans="1:5" ht="29.45" customHeight="1">
      <c r="A319" s="647">
        <v>237</v>
      </c>
      <c r="B319" s="646" t="s">
        <v>1513</v>
      </c>
      <c r="C319" s="647" t="s">
        <v>89</v>
      </c>
      <c r="D319" s="648">
        <v>130438.27499999999</v>
      </c>
      <c r="E319" s="654"/>
    </row>
    <row r="320" spans="1:5" ht="29.45" customHeight="1">
      <c r="A320" s="647">
        <v>238</v>
      </c>
      <c r="B320" s="649" t="s">
        <v>1514</v>
      </c>
      <c r="C320" s="645" t="s">
        <v>1507</v>
      </c>
      <c r="D320" s="648">
        <v>66666.666666666672</v>
      </c>
      <c r="E320" s="654"/>
    </row>
    <row r="321" spans="1:6" ht="29.45" customHeight="1">
      <c r="A321" s="647">
        <v>239</v>
      </c>
      <c r="B321" s="646" t="s">
        <v>1515</v>
      </c>
      <c r="C321" s="647" t="s">
        <v>1505</v>
      </c>
      <c r="D321" s="648">
        <v>198000</v>
      </c>
      <c r="E321" s="654"/>
    </row>
    <row r="322" spans="1:6" s="665" customFormat="1" ht="29.45" customHeight="1">
      <c r="A322" s="660">
        <v>240</v>
      </c>
      <c r="B322" s="661" t="s">
        <v>1516</v>
      </c>
      <c r="C322" s="660" t="s">
        <v>89</v>
      </c>
      <c r="D322" s="663">
        <v>68000</v>
      </c>
      <c r="E322" s="664"/>
      <c r="F322" s="665" t="s">
        <v>1543</v>
      </c>
    </row>
    <row r="323" spans="1:6" ht="29.45" customHeight="1">
      <c r="A323" s="647">
        <v>241</v>
      </c>
      <c r="B323" s="646" t="s">
        <v>1517</v>
      </c>
      <c r="C323" s="647" t="s">
        <v>89</v>
      </c>
      <c r="D323" s="648">
        <v>140000</v>
      </c>
      <c r="E323" s="654"/>
    </row>
    <row r="324" spans="1:6" ht="29.45" customHeight="1">
      <c r="A324" s="647">
        <v>242</v>
      </c>
      <c r="B324" s="646" t="s">
        <v>1518</v>
      </c>
      <c r="C324" s="647" t="s">
        <v>86</v>
      </c>
      <c r="D324" s="648">
        <v>52000</v>
      </c>
      <c r="E324" s="654"/>
    </row>
    <row r="325" spans="1:6" s="665" customFormat="1" ht="29.45" customHeight="1">
      <c r="A325" s="660">
        <v>243</v>
      </c>
      <c r="B325" s="661" t="s">
        <v>1519</v>
      </c>
      <c r="C325" s="660" t="s">
        <v>86</v>
      </c>
      <c r="D325" s="663">
        <v>16000</v>
      </c>
      <c r="E325" s="664"/>
      <c r="F325" s="665" t="s">
        <v>1543</v>
      </c>
    </row>
    <row r="326" spans="1:6" s="665" customFormat="1" ht="29.45" customHeight="1">
      <c r="A326" s="660">
        <v>244</v>
      </c>
      <c r="B326" s="661" t="s">
        <v>1520</v>
      </c>
      <c r="C326" s="660" t="s">
        <v>86</v>
      </c>
      <c r="D326" s="663">
        <v>210000</v>
      </c>
      <c r="E326" s="664"/>
      <c r="F326" s="665" t="s">
        <v>1543</v>
      </c>
    </row>
    <row r="327" spans="1:6" ht="29.45" customHeight="1">
      <c r="A327" s="647">
        <v>245</v>
      </c>
      <c r="B327" s="649" t="s">
        <v>1521</v>
      </c>
      <c r="C327" s="645" t="s">
        <v>1308</v>
      </c>
      <c r="D327" s="648">
        <v>12000</v>
      </c>
      <c r="E327" s="654"/>
    </row>
    <row r="328" spans="1:6" ht="29.45" customHeight="1">
      <c r="A328" s="647">
        <v>246</v>
      </c>
      <c r="B328" s="646" t="s">
        <v>1522</v>
      </c>
      <c r="C328" s="647" t="s">
        <v>1308</v>
      </c>
      <c r="D328" s="648">
        <v>5000</v>
      </c>
      <c r="E328" s="654"/>
    </row>
    <row r="329" spans="1:6" ht="29.45" customHeight="1">
      <c r="A329" s="647">
        <v>247</v>
      </c>
      <c r="B329" s="646" t="s">
        <v>1523</v>
      </c>
      <c r="C329" s="647" t="s">
        <v>86</v>
      </c>
      <c r="D329" s="648">
        <v>270000</v>
      </c>
      <c r="E329" s="654"/>
    </row>
    <row r="330" spans="1:6" ht="29.45" customHeight="1">
      <c r="A330" s="647">
        <v>248</v>
      </c>
      <c r="B330" s="646" t="s">
        <v>1524</v>
      </c>
      <c r="C330" s="645" t="s">
        <v>1277</v>
      </c>
      <c r="D330" s="648">
        <v>266000</v>
      </c>
      <c r="E330" s="654"/>
    </row>
    <row r="331" spans="1:6" ht="29.45" customHeight="1">
      <c r="A331" s="647">
        <v>249</v>
      </c>
      <c r="B331" s="646" t="s">
        <v>1525</v>
      </c>
      <c r="C331" s="647" t="s">
        <v>89</v>
      </c>
      <c r="D331" s="648">
        <v>206000</v>
      </c>
      <c r="E331" s="654"/>
    </row>
    <row r="332" spans="1:6" ht="29.45" customHeight="1">
      <c r="A332" s="647">
        <v>250</v>
      </c>
      <c r="B332" s="646" t="s">
        <v>1526</v>
      </c>
      <c r="C332" s="647" t="s">
        <v>616</v>
      </c>
      <c r="D332" s="648">
        <v>231000</v>
      </c>
      <c r="E332" s="654"/>
    </row>
    <row r="333" spans="1:6" ht="29.45" customHeight="1">
      <c r="A333" s="647">
        <v>251</v>
      </c>
      <c r="B333" s="646" t="s">
        <v>1527</v>
      </c>
      <c r="C333" s="647" t="s">
        <v>616</v>
      </c>
      <c r="D333" s="648">
        <v>294000</v>
      </c>
      <c r="E333" s="654"/>
    </row>
    <row r="334" spans="1:6" ht="29.45" customHeight="1">
      <c r="A334" s="647">
        <v>252</v>
      </c>
      <c r="B334" s="646" t="s">
        <v>1528</v>
      </c>
      <c r="C334" s="647" t="s">
        <v>616</v>
      </c>
      <c r="D334" s="648">
        <v>220500</v>
      </c>
      <c r="E334" s="654"/>
    </row>
    <row r="335" spans="1:6" ht="29.45" customHeight="1">
      <c r="A335" s="647">
        <v>253</v>
      </c>
      <c r="B335" s="646" t="s">
        <v>1529</v>
      </c>
      <c r="C335" s="647" t="s">
        <v>616</v>
      </c>
      <c r="D335" s="648">
        <v>125000</v>
      </c>
      <c r="E335" s="654"/>
    </row>
    <row r="336" spans="1:6" s="665" customFormat="1" ht="29.45" customHeight="1">
      <c r="A336" s="660">
        <v>254</v>
      </c>
      <c r="B336" s="661" t="s">
        <v>1530</v>
      </c>
      <c r="C336" s="660" t="s">
        <v>616</v>
      </c>
      <c r="D336" s="663">
        <v>107000</v>
      </c>
      <c r="E336" s="664"/>
      <c r="F336" s="665" t="s">
        <v>1543</v>
      </c>
    </row>
    <row r="337" spans="1:6" ht="29.45" customHeight="1">
      <c r="A337" s="647">
        <v>255</v>
      </c>
      <c r="B337" s="646" t="s">
        <v>1531</v>
      </c>
      <c r="C337" s="647" t="s">
        <v>616</v>
      </c>
      <c r="D337" s="648">
        <v>150000</v>
      </c>
      <c r="E337" s="654"/>
    </row>
    <row r="338" spans="1:6" ht="29.45" customHeight="1">
      <c r="A338" s="647">
        <v>256</v>
      </c>
      <c r="B338" s="646" t="s">
        <v>1532</v>
      </c>
      <c r="C338" s="647" t="s">
        <v>616</v>
      </c>
      <c r="D338" s="648">
        <v>418000</v>
      </c>
      <c r="E338" s="654"/>
    </row>
    <row r="339" spans="1:6" s="665" customFormat="1" ht="29.45" customHeight="1">
      <c r="A339" s="660">
        <v>257</v>
      </c>
      <c r="B339" s="671" t="s">
        <v>490</v>
      </c>
      <c r="C339" s="662" t="s">
        <v>622</v>
      </c>
      <c r="D339" s="663">
        <v>99800</v>
      </c>
      <c r="E339" s="664"/>
      <c r="F339" s="665" t="s">
        <v>1543</v>
      </c>
    </row>
    <row r="340" spans="1:6" ht="29.45" customHeight="1">
      <c r="A340" s="647">
        <v>258</v>
      </c>
      <c r="B340" s="649" t="s">
        <v>490</v>
      </c>
      <c r="C340" s="645" t="s">
        <v>622</v>
      </c>
      <c r="D340" s="648">
        <v>76200</v>
      </c>
      <c r="E340" s="654"/>
    </row>
    <row r="341" spans="1:6" ht="29.45" customHeight="1">
      <c r="A341" s="647">
        <v>259</v>
      </c>
      <c r="B341" s="646" t="s">
        <v>1533</v>
      </c>
      <c r="C341" s="647" t="s">
        <v>86</v>
      </c>
      <c r="D341" s="648">
        <v>7000</v>
      </c>
      <c r="E341" s="654"/>
    </row>
    <row r="342" spans="1:6" ht="29.45" customHeight="1">
      <c r="A342" s="647">
        <v>260</v>
      </c>
      <c r="B342" s="646" t="s">
        <v>1534</v>
      </c>
      <c r="C342" s="647" t="s">
        <v>1535</v>
      </c>
      <c r="D342" s="648">
        <v>80000</v>
      </c>
      <c r="E342" s="654"/>
    </row>
    <row r="343" spans="1:6" ht="29.45" customHeight="1">
      <c r="A343" s="647">
        <v>261</v>
      </c>
      <c r="B343" s="646" t="s">
        <v>1536</v>
      </c>
      <c r="C343" s="647" t="s">
        <v>1308</v>
      </c>
      <c r="D343" s="648">
        <v>120000</v>
      </c>
      <c r="E343" s="654"/>
    </row>
    <row r="344" spans="1:6" s="665" customFormat="1" ht="29.45" customHeight="1">
      <c r="A344" s="660">
        <v>262</v>
      </c>
      <c r="B344" s="667" t="s">
        <v>618</v>
      </c>
      <c r="C344" s="662" t="s">
        <v>86</v>
      </c>
      <c r="D344" s="663">
        <v>20000</v>
      </c>
      <c r="E344" s="664"/>
      <c r="F344" s="665" t="s">
        <v>1543</v>
      </c>
    </row>
    <row r="345" spans="1:6" ht="29.45" customHeight="1">
      <c r="A345" s="647">
        <v>263</v>
      </c>
      <c r="B345" s="646" t="s">
        <v>1537</v>
      </c>
      <c r="C345" s="647" t="s">
        <v>91</v>
      </c>
      <c r="D345" s="648">
        <v>3078324</v>
      </c>
      <c r="E345" s="654"/>
    </row>
    <row r="346" spans="1:6" ht="35.25" customHeight="1">
      <c r="A346" s="647">
        <v>264</v>
      </c>
      <c r="B346" s="646" t="s">
        <v>1538</v>
      </c>
      <c r="C346" s="647" t="s">
        <v>86</v>
      </c>
      <c r="D346" s="648">
        <v>320</v>
      </c>
      <c r="E346" s="654"/>
    </row>
    <row r="347" spans="1:6" ht="29.45" customHeight="1">
      <c r="A347" s="647">
        <v>265</v>
      </c>
      <c r="B347" s="646" t="s">
        <v>1539</v>
      </c>
      <c r="C347" s="647" t="s">
        <v>1505</v>
      </c>
      <c r="D347" s="648">
        <v>25000</v>
      </c>
      <c r="E347" s="654"/>
    </row>
    <row r="348" spans="1:6" s="665" customFormat="1" ht="29.45" customHeight="1">
      <c r="A348" s="660">
        <v>266</v>
      </c>
      <c r="B348" s="661" t="s">
        <v>1540</v>
      </c>
      <c r="C348" s="662" t="s">
        <v>89</v>
      </c>
      <c r="D348" s="663">
        <v>1472.222</v>
      </c>
      <c r="E348" s="664"/>
      <c r="F348" s="665" t="s">
        <v>1542</v>
      </c>
    </row>
    <row r="349" spans="1:6" ht="29.45" customHeight="1">
      <c r="A349" s="647">
        <v>267</v>
      </c>
      <c r="B349" s="646" t="s">
        <v>1541</v>
      </c>
      <c r="C349" s="647" t="s">
        <v>86</v>
      </c>
      <c r="D349" s="648">
        <v>7000</v>
      </c>
      <c r="E349" s="654"/>
    </row>
    <row r="350" spans="1:6" s="665" customFormat="1" ht="35.25" customHeight="1">
      <c r="A350" s="660">
        <v>268</v>
      </c>
      <c r="B350" s="661" t="s">
        <v>968</v>
      </c>
      <c r="C350" s="662" t="s">
        <v>1277</v>
      </c>
      <c r="D350" s="663">
        <v>26000</v>
      </c>
      <c r="E350" s="664"/>
      <c r="F350" s="665" t="s">
        <v>1543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4"/>
  </sheetPr>
  <dimension ref="A1:CZ150"/>
  <sheetViews>
    <sheetView zoomScale="80" zoomScaleNormal="80" workbookViewId="0">
      <pane ySplit="4" topLeftCell="A5" activePane="bottomLeft" state="frozen"/>
      <selection pane="bottomLeft" activeCell="AR146" sqref="AR146"/>
    </sheetView>
  </sheetViews>
  <sheetFormatPr defaultColWidth="8.83203125" defaultRowHeight="15.75"/>
  <cols>
    <col min="1" max="1" width="5.83203125" style="128" customWidth="1"/>
    <col min="2" max="2" width="16.83203125" style="456" customWidth="1"/>
    <col min="3" max="3" width="16.1640625" style="456" customWidth="1"/>
    <col min="4" max="4" width="4.33203125" style="456" customWidth="1"/>
    <col min="5" max="8" width="4.83203125" style="396" customWidth="1"/>
    <col min="9" max="14" width="4.83203125" style="128" customWidth="1"/>
    <col min="15" max="21" width="4.83203125" style="396" customWidth="1"/>
    <col min="22" max="22" width="4.83203125" style="128" customWidth="1"/>
    <col min="23" max="23" width="4.83203125" style="394" customWidth="1"/>
    <col min="24" max="25" width="4.83203125" style="128" customWidth="1"/>
    <col min="26" max="26" width="6" style="128" customWidth="1"/>
    <col min="27" max="33" width="4.5" style="128" customWidth="1"/>
    <col min="34" max="36" width="5.1640625" style="128" customWidth="1"/>
    <col min="37" max="43" width="5.33203125" style="128" customWidth="1"/>
    <col min="44" max="45" width="5.1640625" style="128" customWidth="1"/>
    <col min="46" max="46" width="6.1640625" style="396" customWidth="1"/>
    <col min="47" max="47" width="4.83203125" style="128" customWidth="1"/>
    <col min="48" max="48" width="5.1640625" style="394" customWidth="1"/>
    <col min="49" max="49" width="6.5" style="128" customWidth="1"/>
    <col min="50" max="50" width="5.5" style="128" customWidth="1"/>
    <col min="51" max="55" width="5.1640625" style="128" customWidth="1"/>
    <col min="56" max="56" width="6.1640625" style="128" customWidth="1"/>
    <col min="57" max="57" width="5.1640625" style="128" customWidth="1"/>
    <col min="58" max="70" width="5" style="128" customWidth="1"/>
    <col min="71" max="72" width="6.1640625" style="128" customWidth="1"/>
    <col min="73" max="75" width="5" style="128" customWidth="1"/>
    <col min="76" max="76" width="5" style="394" customWidth="1"/>
    <col min="77" max="79" width="5" style="128" customWidth="1"/>
    <col min="80" max="83" width="5" style="703" customWidth="1"/>
    <col min="84" max="84" width="3.83203125" style="703" customWidth="1"/>
    <col min="85" max="16384" width="8.83203125" style="128"/>
  </cols>
  <sheetData>
    <row r="1" spans="1:104" ht="27.6" customHeight="1">
      <c r="A1" s="1009" t="s">
        <v>12</v>
      </c>
      <c r="B1" s="1009"/>
      <c r="C1" s="1009"/>
      <c r="D1" s="1009"/>
      <c r="E1" s="1010"/>
      <c r="F1" s="1010"/>
      <c r="G1" s="1010"/>
      <c r="H1" s="1010"/>
      <c r="I1" s="1009"/>
      <c r="J1" s="1009"/>
      <c r="K1" s="1009"/>
      <c r="L1" s="1009"/>
      <c r="M1" s="1009"/>
      <c r="N1" s="1009"/>
      <c r="O1" s="1009"/>
      <c r="P1" s="1009"/>
      <c r="Q1" s="1009"/>
      <c r="R1" s="1009"/>
      <c r="S1" s="1009"/>
      <c r="T1" s="1009"/>
      <c r="U1" s="1009"/>
      <c r="V1" s="1009"/>
      <c r="W1" s="1009"/>
      <c r="X1" s="1009"/>
      <c r="Y1" s="1009"/>
      <c r="Z1" s="1009"/>
      <c r="AA1" s="1009"/>
      <c r="AB1" s="1009"/>
      <c r="AC1" s="1009"/>
      <c r="AD1" s="1009"/>
      <c r="AE1" s="1009"/>
      <c r="AF1" s="1009"/>
      <c r="AG1" s="1009"/>
      <c r="AH1" s="1009"/>
      <c r="AI1" s="1009"/>
      <c r="AJ1" s="1009"/>
      <c r="AK1" s="1009"/>
      <c r="AL1" s="1009"/>
      <c r="AM1" s="1009"/>
      <c r="AN1" s="1009"/>
      <c r="AO1" s="1009"/>
      <c r="AP1" s="1009"/>
      <c r="AQ1" s="1009"/>
      <c r="AR1" s="1009"/>
      <c r="AS1" s="1009"/>
      <c r="AT1" s="1009"/>
      <c r="AU1" s="1009"/>
      <c r="AV1" s="1009"/>
      <c r="AW1" s="1009"/>
      <c r="AX1" s="1009"/>
      <c r="AY1" s="1009"/>
      <c r="AZ1" s="1009"/>
      <c r="BA1" s="1009"/>
      <c r="BB1" s="1009"/>
      <c r="BC1" s="1009"/>
      <c r="BD1" s="1009"/>
      <c r="BE1" s="1009"/>
      <c r="BF1" s="1009"/>
      <c r="BG1" s="1009"/>
      <c r="BH1" s="1009"/>
      <c r="BI1" s="1009"/>
      <c r="BJ1" s="1009"/>
      <c r="BK1" s="1009"/>
      <c r="BL1" s="1009"/>
      <c r="BM1" s="1009"/>
      <c r="BN1" s="1009"/>
      <c r="BO1" s="1009"/>
      <c r="BP1" s="1009"/>
      <c r="BQ1" s="1009"/>
      <c r="BR1" s="1009"/>
      <c r="BS1" s="1009"/>
      <c r="BT1" s="1009"/>
      <c r="BU1" s="1009"/>
      <c r="BV1" s="1009"/>
      <c r="BW1" s="1009"/>
      <c r="BX1" s="1009"/>
      <c r="BY1" s="1009"/>
      <c r="BZ1" s="1009"/>
      <c r="CA1" s="1009"/>
      <c r="CB1" s="1009"/>
      <c r="CC1" s="1009"/>
      <c r="CD1" s="1009"/>
      <c r="CE1" s="1009"/>
      <c r="CF1" s="1009"/>
    </row>
    <row r="2" spans="1:104" ht="42" customHeight="1">
      <c r="A2" s="1007" t="s">
        <v>1031</v>
      </c>
      <c r="B2" s="1007"/>
      <c r="C2" s="1007"/>
      <c r="D2" s="1007"/>
      <c r="E2" s="1008"/>
      <c r="F2" s="1008"/>
      <c r="G2" s="1008"/>
      <c r="H2" s="1008"/>
      <c r="I2" s="1007"/>
      <c r="J2" s="1007"/>
      <c r="K2" s="1007"/>
      <c r="L2" s="1007"/>
      <c r="M2" s="1007"/>
      <c r="N2" s="1007"/>
      <c r="O2" s="1007"/>
      <c r="P2" s="1007"/>
      <c r="Q2" s="1007"/>
      <c r="R2" s="1007"/>
      <c r="S2" s="1007"/>
      <c r="T2" s="1007"/>
      <c r="U2" s="1007"/>
      <c r="V2" s="1007"/>
      <c r="W2" s="1007"/>
      <c r="X2" s="1007"/>
      <c r="Y2" s="1007"/>
      <c r="Z2" s="1007"/>
      <c r="AA2" s="1007"/>
      <c r="AB2" s="1007"/>
      <c r="AC2" s="1007"/>
      <c r="AD2" s="1007"/>
      <c r="AE2" s="1007"/>
      <c r="AF2" s="1007"/>
      <c r="AG2" s="1007"/>
      <c r="AH2" s="1007"/>
      <c r="AI2" s="1007"/>
      <c r="AJ2" s="1007"/>
      <c r="AK2" s="1007"/>
      <c r="AL2" s="1007"/>
      <c r="AM2" s="1007"/>
      <c r="AN2" s="1007"/>
      <c r="AO2" s="1007"/>
      <c r="AP2" s="1007"/>
      <c r="AQ2" s="1007"/>
      <c r="AR2" s="1007"/>
      <c r="AS2" s="1007"/>
      <c r="AT2" s="1007"/>
      <c r="AU2" s="1007"/>
      <c r="AV2" s="1007"/>
      <c r="AW2" s="1007"/>
      <c r="AX2" s="1007"/>
      <c r="AY2" s="1007"/>
      <c r="AZ2" s="1007"/>
      <c r="BA2" s="1007"/>
      <c r="BB2" s="1007"/>
      <c r="BC2" s="1007"/>
      <c r="BD2" s="1007"/>
      <c r="BE2" s="1007"/>
      <c r="BF2" s="1007"/>
      <c r="BG2" s="1007"/>
      <c r="BH2" s="1007"/>
      <c r="BI2" s="1007"/>
      <c r="BJ2" s="1007"/>
      <c r="BK2" s="1007"/>
      <c r="BL2" s="1007"/>
      <c r="BM2" s="1007"/>
      <c r="BN2" s="1007"/>
      <c r="BO2" s="1007"/>
      <c r="BP2" s="1007"/>
      <c r="BQ2" s="1007"/>
      <c r="BR2" s="1007"/>
      <c r="BS2" s="1007"/>
      <c r="BT2" s="1007"/>
      <c r="BU2" s="1007"/>
      <c r="BV2" s="1007"/>
      <c r="BW2" s="1007"/>
      <c r="BX2" s="1007"/>
      <c r="BY2" s="1007"/>
      <c r="BZ2" s="1007"/>
      <c r="CA2" s="1007"/>
      <c r="CB2" s="1007"/>
      <c r="CC2" s="1007"/>
      <c r="CD2" s="1007"/>
      <c r="CE2" s="1007"/>
      <c r="CF2" s="1007"/>
    </row>
    <row r="3" spans="1:104" ht="33" customHeight="1">
      <c r="A3" s="1012" t="s">
        <v>22</v>
      </c>
      <c r="B3" s="1014" t="s">
        <v>1023</v>
      </c>
      <c r="C3" s="1017" t="s">
        <v>1054</v>
      </c>
      <c r="D3" s="1019" t="s">
        <v>556</v>
      </c>
      <c r="E3" s="1020"/>
      <c r="F3" s="1020"/>
      <c r="G3" s="1020"/>
      <c r="H3" s="1020"/>
      <c r="I3" s="1021"/>
      <c r="J3" s="1021"/>
      <c r="K3" s="1021"/>
      <c r="L3" s="1021"/>
      <c r="M3" s="1021"/>
      <c r="N3" s="1021"/>
      <c r="O3" s="1021"/>
      <c r="P3" s="1021"/>
      <c r="Q3" s="1021"/>
      <c r="R3" s="1021"/>
      <c r="S3" s="1021"/>
      <c r="T3" s="1021"/>
      <c r="U3" s="1021"/>
      <c r="V3" s="1021"/>
      <c r="W3" s="1021"/>
      <c r="X3" s="1021"/>
      <c r="Y3" s="1021"/>
      <c r="Z3" s="1021"/>
      <c r="AA3" s="1021"/>
      <c r="AB3" s="1021"/>
      <c r="AC3" s="1021"/>
      <c r="AD3" s="1021"/>
      <c r="AE3" s="1021"/>
      <c r="AF3" s="1021"/>
      <c r="AG3" s="1021"/>
      <c r="AH3" s="1021"/>
      <c r="AI3" s="1021"/>
      <c r="AJ3" s="1021"/>
      <c r="AK3" s="1021"/>
      <c r="AL3" s="1021"/>
      <c r="AM3" s="1021"/>
      <c r="AN3" s="1021"/>
      <c r="AO3" s="1021"/>
      <c r="AP3" s="1021"/>
      <c r="AQ3" s="1021"/>
      <c r="AR3" s="1021"/>
      <c r="AS3" s="1021"/>
      <c r="AT3" s="1021"/>
      <c r="AU3" s="1021"/>
      <c r="AV3" s="1022"/>
      <c r="AW3" s="1012" t="s">
        <v>587</v>
      </c>
      <c r="AX3" s="1012"/>
      <c r="AY3" s="1023" t="s">
        <v>557</v>
      </c>
      <c r="AZ3" s="1024"/>
      <c r="BA3" s="1024"/>
      <c r="BB3" s="1024"/>
      <c r="BC3" s="1024"/>
      <c r="BD3" s="1024"/>
      <c r="BE3" s="1024"/>
      <c r="BF3" s="1024"/>
      <c r="BG3" s="1024"/>
      <c r="BH3" s="1024"/>
      <c r="BI3" s="1024"/>
      <c r="BJ3" s="1024"/>
      <c r="BK3" s="1024"/>
      <c r="BL3" s="1024"/>
      <c r="BM3" s="1024"/>
      <c r="BN3" s="1024"/>
      <c r="BO3" s="1024"/>
      <c r="BP3" s="1024"/>
      <c r="BQ3" s="1024"/>
      <c r="BR3" s="1024"/>
      <c r="BS3" s="1024"/>
      <c r="BT3" s="1024"/>
      <c r="BU3" s="1024"/>
      <c r="BV3" s="1024"/>
      <c r="BW3" s="1024"/>
      <c r="BX3" s="1024"/>
      <c r="BY3" s="1024"/>
      <c r="BZ3" s="1024"/>
      <c r="CA3" s="1024"/>
      <c r="CB3" s="1024"/>
      <c r="CC3" s="1024"/>
      <c r="CD3" s="1024"/>
      <c r="CE3" s="1025"/>
      <c r="CF3" s="1016" t="s">
        <v>258</v>
      </c>
    </row>
    <row r="4" spans="1:104" s="127" customFormat="1" ht="201.6" customHeight="1">
      <c r="A4" s="1013"/>
      <c r="B4" s="1015"/>
      <c r="C4" s="1018"/>
      <c r="D4" s="459" t="s">
        <v>1213</v>
      </c>
      <c r="E4" s="715" t="s">
        <v>962</v>
      </c>
      <c r="F4" s="715" t="s">
        <v>1555</v>
      </c>
      <c r="G4" s="715" t="s">
        <v>1553</v>
      </c>
      <c r="H4" s="715" t="s">
        <v>1554</v>
      </c>
      <c r="I4" s="129" t="s">
        <v>702</v>
      </c>
      <c r="J4" s="129" t="s">
        <v>823</v>
      </c>
      <c r="K4" s="129" t="s">
        <v>1147</v>
      </c>
      <c r="L4" s="129" t="s">
        <v>1146</v>
      </c>
      <c r="M4" s="129" t="s">
        <v>816</v>
      </c>
      <c r="N4" s="129" t="s">
        <v>584</v>
      </c>
      <c r="O4" s="715" t="s">
        <v>1559</v>
      </c>
      <c r="P4" s="715" t="s">
        <v>610</v>
      </c>
      <c r="Q4" s="715" t="s">
        <v>609</v>
      </c>
      <c r="R4" s="715" t="s">
        <v>956</v>
      </c>
      <c r="S4" s="715" t="s">
        <v>767</v>
      </c>
      <c r="T4" s="715" t="s">
        <v>678</v>
      </c>
      <c r="U4" s="715" t="s">
        <v>585</v>
      </c>
      <c r="V4" s="129" t="s">
        <v>266</v>
      </c>
      <c r="W4" s="129" t="s">
        <v>822</v>
      </c>
      <c r="X4" s="129" t="s">
        <v>815</v>
      </c>
      <c r="Y4" s="129" t="s">
        <v>770</v>
      </c>
      <c r="Z4" s="129" t="s">
        <v>586</v>
      </c>
      <c r="AA4" s="435" t="s">
        <v>626</v>
      </c>
      <c r="AB4" s="435" t="s">
        <v>627</v>
      </c>
      <c r="AC4" s="435" t="s">
        <v>971</v>
      </c>
      <c r="AD4" s="435" t="s">
        <v>1061</v>
      </c>
      <c r="AE4" s="435" t="s">
        <v>1062</v>
      </c>
      <c r="AF4" s="435" t="s">
        <v>973</v>
      </c>
      <c r="AG4" s="435" t="s">
        <v>972</v>
      </c>
      <c r="AH4" s="435" t="s">
        <v>977</v>
      </c>
      <c r="AI4" s="435" t="s">
        <v>725</v>
      </c>
      <c r="AJ4" s="435" t="s">
        <v>720</v>
      </c>
      <c r="AK4" s="435" t="s">
        <v>717</v>
      </c>
      <c r="AL4" s="435" t="s">
        <v>718</v>
      </c>
      <c r="AM4" s="129" t="s">
        <v>824</v>
      </c>
      <c r="AN4" s="435" t="s">
        <v>713</v>
      </c>
      <c r="AO4" s="435" t="s">
        <v>714</v>
      </c>
      <c r="AP4" s="435" t="s">
        <v>715</v>
      </c>
      <c r="AQ4" s="435" t="s">
        <v>716</v>
      </c>
      <c r="AR4" s="129" t="s">
        <v>979</v>
      </c>
      <c r="AS4" s="129" t="s">
        <v>978</v>
      </c>
      <c r="AT4" s="715" t="s">
        <v>719</v>
      </c>
      <c r="AU4" s="129" t="s">
        <v>703</v>
      </c>
      <c r="AV4" s="129" t="s">
        <v>704</v>
      </c>
      <c r="AW4" s="129" t="s">
        <v>266</v>
      </c>
      <c r="AX4" s="129" t="s">
        <v>770</v>
      </c>
      <c r="AY4" s="129" t="s">
        <v>724</v>
      </c>
      <c r="AZ4" s="459" t="s">
        <v>1555</v>
      </c>
      <c r="BA4" s="715" t="s">
        <v>1556</v>
      </c>
      <c r="BB4" s="715" t="s">
        <v>1554</v>
      </c>
      <c r="BC4" s="129" t="s">
        <v>702</v>
      </c>
      <c r="BD4" s="129" t="s">
        <v>823</v>
      </c>
      <c r="BE4" s="129" t="s">
        <v>1147</v>
      </c>
      <c r="BF4" s="129" t="s">
        <v>1146</v>
      </c>
      <c r="BG4" s="129" t="s">
        <v>1002</v>
      </c>
      <c r="BH4" s="129" t="s">
        <v>636</v>
      </c>
      <c r="BI4" s="129" t="s">
        <v>637</v>
      </c>
      <c r="BJ4" s="129" t="s">
        <v>771</v>
      </c>
      <c r="BK4" s="129" t="s">
        <v>768</v>
      </c>
      <c r="BL4" s="129" t="s">
        <v>638</v>
      </c>
      <c r="BM4" s="129" t="s">
        <v>1059</v>
      </c>
      <c r="BN4" s="129" t="s">
        <v>797</v>
      </c>
      <c r="BO4" s="129" t="s">
        <v>796</v>
      </c>
      <c r="BP4" s="129" t="s">
        <v>723</v>
      </c>
      <c r="BQ4" s="129" t="s">
        <v>703</v>
      </c>
      <c r="BR4" s="129" t="s">
        <v>704</v>
      </c>
      <c r="BS4" s="129" t="s">
        <v>721</v>
      </c>
      <c r="BT4" s="129" t="s">
        <v>722</v>
      </c>
      <c r="BU4" s="129" t="s">
        <v>769</v>
      </c>
      <c r="BV4" s="129" t="s">
        <v>626</v>
      </c>
      <c r="BW4" s="129" t="s">
        <v>673</v>
      </c>
      <c r="BX4" s="129" t="s">
        <v>822</v>
      </c>
      <c r="BY4" s="129" t="s">
        <v>815</v>
      </c>
      <c r="BZ4" s="129" t="s">
        <v>798</v>
      </c>
      <c r="CA4" s="129" t="s">
        <v>634</v>
      </c>
      <c r="CB4" s="459" t="s">
        <v>1544</v>
      </c>
      <c r="CC4" s="459" t="s">
        <v>1545</v>
      </c>
      <c r="CD4" s="459" t="s">
        <v>1546</v>
      </c>
      <c r="CE4" s="459" t="s">
        <v>1547</v>
      </c>
      <c r="CF4" s="1016"/>
    </row>
    <row r="5" spans="1:104" s="135" customFormat="1" ht="24.6" customHeight="1">
      <c r="A5" s="432">
        <v>1</v>
      </c>
      <c r="B5" s="453" t="s">
        <v>727</v>
      </c>
      <c r="C5" s="453"/>
      <c r="D5" s="453">
        <v>1</v>
      </c>
      <c r="E5" s="716">
        <v>12</v>
      </c>
      <c r="F5" s="716">
        <v>4</v>
      </c>
      <c r="G5" s="716"/>
      <c r="H5" s="716"/>
      <c r="O5" s="716"/>
      <c r="P5" s="716"/>
      <c r="Q5" s="716"/>
      <c r="R5" s="716"/>
      <c r="S5" s="716"/>
      <c r="T5" s="716"/>
      <c r="U5" s="716"/>
      <c r="AC5" s="135">
        <v>3</v>
      </c>
      <c r="AH5" s="135">
        <v>7</v>
      </c>
      <c r="AK5" s="135">
        <v>3</v>
      </c>
      <c r="AL5" s="135">
        <v>3</v>
      </c>
      <c r="AN5" s="135">
        <v>3</v>
      </c>
      <c r="AR5" s="135">
        <v>1</v>
      </c>
      <c r="AT5" s="716">
        <v>3</v>
      </c>
      <c r="AU5" s="135">
        <v>3</v>
      </c>
      <c r="AY5" s="135">
        <v>9</v>
      </c>
      <c r="AZ5" s="135">
        <v>3</v>
      </c>
      <c r="BP5" s="135">
        <v>3</v>
      </c>
      <c r="BQ5" s="135">
        <v>3</v>
      </c>
      <c r="BS5" s="135">
        <v>18</v>
      </c>
      <c r="BT5" s="135">
        <v>6</v>
      </c>
      <c r="CB5" s="700">
        <f>AN5</f>
        <v>3</v>
      </c>
      <c r="CC5" s="700"/>
      <c r="CD5" s="700"/>
      <c r="CE5" s="700"/>
      <c r="CF5" s="700"/>
      <c r="CG5" s="128"/>
      <c r="CH5" s="128"/>
      <c r="CI5" s="128"/>
      <c r="CJ5" s="128"/>
      <c r="CK5" s="128"/>
      <c r="CL5" s="128"/>
      <c r="CM5" s="128"/>
      <c r="CN5" s="128"/>
      <c r="CO5" s="128"/>
      <c r="CP5" s="128"/>
      <c r="CQ5" s="128"/>
      <c r="CR5" s="128"/>
      <c r="CS5" s="128"/>
      <c r="CT5" s="128"/>
      <c r="CU5" s="128"/>
      <c r="CV5" s="128"/>
      <c r="CW5" s="128"/>
      <c r="CX5" s="128"/>
      <c r="CY5" s="128"/>
      <c r="CZ5" s="128"/>
    </row>
    <row r="6" spans="1:104" s="135" customFormat="1" ht="24.6" customHeight="1">
      <c r="A6" s="432">
        <v>2</v>
      </c>
      <c r="B6" s="453" t="s">
        <v>726</v>
      </c>
      <c r="C6" s="453"/>
      <c r="D6" s="453"/>
      <c r="E6" s="716"/>
      <c r="F6" s="716"/>
      <c r="G6" s="720">
        <v>12</v>
      </c>
      <c r="H6" s="720">
        <v>4</v>
      </c>
      <c r="J6" s="720"/>
      <c r="O6" s="716"/>
      <c r="P6" s="716"/>
      <c r="Q6" s="716"/>
      <c r="R6" s="716"/>
      <c r="S6" s="716"/>
      <c r="T6" s="716"/>
      <c r="U6" s="716"/>
      <c r="AC6" s="135">
        <v>3</v>
      </c>
      <c r="AJ6" s="135">
        <v>7</v>
      </c>
      <c r="AK6" s="135">
        <v>3</v>
      </c>
      <c r="AL6" s="135">
        <v>3</v>
      </c>
      <c r="AQ6" s="135">
        <v>3</v>
      </c>
      <c r="AR6" s="135">
        <v>1</v>
      </c>
      <c r="AT6" s="716">
        <v>3</v>
      </c>
      <c r="BA6" s="135">
        <v>9</v>
      </c>
      <c r="BB6" s="135">
        <v>3</v>
      </c>
      <c r="BP6" s="135">
        <v>3</v>
      </c>
      <c r="BS6" s="135">
        <v>18</v>
      </c>
      <c r="BT6" s="135">
        <v>6</v>
      </c>
      <c r="CB6" s="700"/>
      <c r="CC6" s="700"/>
      <c r="CD6" s="700"/>
      <c r="CE6" s="700">
        <f t="shared" ref="CE6:CE7" si="0">AQ6</f>
        <v>3</v>
      </c>
      <c r="CF6" s="700"/>
      <c r="CG6" s="128"/>
      <c r="CH6" s="128"/>
      <c r="CI6" s="128"/>
      <c r="CJ6" s="128"/>
      <c r="CK6" s="128"/>
      <c r="CL6" s="128"/>
      <c r="CM6" s="128"/>
      <c r="CN6" s="128"/>
      <c r="CO6" s="128"/>
      <c r="CP6" s="128"/>
      <c r="CQ6" s="128"/>
      <c r="CR6" s="128"/>
      <c r="CS6" s="128"/>
      <c r="CT6" s="128"/>
      <c r="CU6" s="128"/>
      <c r="CV6" s="128"/>
      <c r="CW6" s="128"/>
      <c r="CX6" s="128"/>
      <c r="CY6" s="128"/>
      <c r="CZ6" s="128"/>
    </row>
    <row r="7" spans="1:104" s="135" customFormat="1" ht="24.6" customHeight="1">
      <c r="A7" s="432">
        <v>3</v>
      </c>
      <c r="B7" s="453" t="s">
        <v>728</v>
      </c>
      <c r="C7" s="453"/>
      <c r="D7" s="453">
        <v>1</v>
      </c>
      <c r="E7" s="716"/>
      <c r="F7" s="716"/>
      <c r="G7" s="720">
        <v>12</v>
      </c>
      <c r="H7" s="720">
        <v>4</v>
      </c>
      <c r="J7" s="720"/>
      <c r="O7" s="716"/>
      <c r="P7" s="716"/>
      <c r="Q7" s="716"/>
      <c r="R7" s="716"/>
      <c r="S7" s="716"/>
      <c r="T7" s="716"/>
      <c r="U7" s="716"/>
      <c r="AC7" s="135">
        <v>3</v>
      </c>
      <c r="AJ7" s="135">
        <v>7</v>
      </c>
      <c r="AK7" s="135">
        <v>3</v>
      </c>
      <c r="AL7" s="135">
        <v>3</v>
      </c>
      <c r="AQ7" s="135">
        <v>3</v>
      </c>
      <c r="AR7" s="135">
        <v>1</v>
      </c>
      <c r="AT7" s="716">
        <v>3</v>
      </c>
      <c r="BA7" s="135">
        <v>9</v>
      </c>
      <c r="BB7" s="135">
        <v>3</v>
      </c>
      <c r="BP7" s="135">
        <v>3</v>
      </c>
      <c r="BS7" s="135">
        <v>18</v>
      </c>
      <c r="BT7" s="135">
        <v>6</v>
      </c>
      <c r="CB7" s="700"/>
      <c r="CC7" s="700"/>
      <c r="CD7" s="700"/>
      <c r="CE7" s="700">
        <f t="shared" si="0"/>
        <v>3</v>
      </c>
      <c r="CF7" s="700"/>
      <c r="CG7" s="128"/>
      <c r="CH7" s="128"/>
      <c r="CI7" s="128"/>
      <c r="CJ7" s="128"/>
      <c r="CK7" s="128"/>
      <c r="CL7" s="128"/>
      <c r="CM7" s="128"/>
      <c r="CN7" s="128"/>
      <c r="CO7" s="128"/>
      <c r="CP7" s="128"/>
      <c r="CQ7" s="128"/>
      <c r="CR7" s="128"/>
      <c r="CS7" s="128"/>
      <c r="CT7" s="128"/>
      <c r="CU7" s="128"/>
      <c r="CV7" s="128"/>
      <c r="CW7" s="128"/>
      <c r="CX7" s="128"/>
      <c r="CY7" s="128"/>
      <c r="CZ7" s="128"/>
    </row>
    <row r="8" spans="1:104" s="135" customFormat="1" ht="24.6" customHeight="1">
      <c r="A8" s="432">
        <v>4</v>
      </c>
      <c r="B8" s="453" t="s">
        <v>729</v>
      </c>
      <c r="C8" s="453"/>
      <c r="D8" s="453"/>
      <c r="E8" s="716">
        <v>12</v>
      </c>
      <c r="F8" s="716">
        <v>4</v>
      </c>
      <c r="G8" s="716"/>
      <c r="H8" s="716"/>
      <c r="O8" s="716"/>
      <c r="P8" s="716"/>
      <c r="Q8" s="716"/>
      <c r="R8" s="716"/>
      <c r="S8" s="716"/>
      <c r="T8" s="716"/>
      <c r="U8" s="716"/>
      <c r="AC8" s="135">
        <v>3</v>
      </c>
      <c r="AI8" s="135">
        <v>7</v>
      </c>
      <c r="AK8" s="135">
        <v>3</v>
      </c>
      <c r="AL8" s="135">
        <v>3</v>
      </c>
      <c r="AO8" s="135">
        <v>3</v>
      </c>
      <c r="AR8" s="135">
        <v>1</v>
      </c>
      <c r="AT8" s="716">
        <v>3</v>
      </c>
      <c r="AY8" s="135">
        <v>9</v>
      </c>
      <c r="AZ8" s="135">
        <v>3</v>
      </c>
      <c r="BP8" s="135">
        <v>3</v>
      </c>
      <c r="BS8" s="135">
        <v>18</v>
      </c>
      <c r="BT8" s="135">
        <v>6</v>
      </c>
      <c r="CB8" s="700"/>
      <c r="CC8" s="700">
        <f t="shared" ref="CC8:CC9" si="1">AO8</f>
        <v>3</v>
      </c>
      <c r="CD8" s="700"/>
      <c r="CE8" s="700"/>
      <c r="CF8" s="700"/>
      <c r="CG8" s="128"/>
      <c r="CH8" s="128"/>
      <c r="CI8" s="128"/>
      <c r="CJ8" s="128"/>
      <c r="CK8" s="128"/>
      <c r="CL8" s="128"/>
      <c r="CM8" s="128"/>
      <c r="CN8" s="128"/>
      <c r="CO8" s="128"/>
      <c r="CP8" s="128"/>
      <c r="CQ8" s="128"/>
      <c r="CR8" s="128"/>
      <c r="CS8" s="128"/>
      <c r="CT8" s="128"/>
      <c r="CU8" s="128"/>
      <c r="CV8" s="128"/>
      <c r="CW8" s="128"/>
      <c r="CX8" s="128"/>
      <c r="CY8" s="128"/>
      <c r="CZ8" s="128"/>
    </row>
    <row r="9" spans="1:104" s="135" customFormat="1" ht="24.6" customHeight="1">
      <c r="A9" s="432">
        <v>5</v>
      </c>
      <c r="B9" s="453" t="s">
        <v>730</v>
      </c>
      <c r="C9" s="453"/>
      <c r="D9" s="453">
        <v>1</v>
      </c>
      <c r="E9" s="716">
        <v>12</v>
      </c>
      <c r="F9" s="716">
        <v>4</v>
      </c>
      <c r="G9" s="716"/>
      <c r="H9" s="716"/>
      <c r="O9" s="716"/>
      <c r="P9" s="716"/>
      <c r="Q9" s="716"/>
      <c r="R9" s="716"/>
      <c r="S9" s="716"/>
      <c r="T9" s="716"/>
      <c r="U9" s="716"/>
      <c r="AC9" s="135">
        <v>3</v>
      </c>
      <c r="AI9" s="135">
        <v>7</v>
      </c>
      <c r="AK9" s="135">
        <v>3</v>
      </c>
      <c r="AL9" s="135">
        <v>3</v>
      </c>
      <c r="AO9" s="135">
        <v>3</v>
      </c>
      <c r="AR9" s="135">
        <v>1</v>
      </c>
      <c r="AT9" s="716">
        <v>3</v>
      </c>
      <c r="AY9" s="135">
        <v>9</v>
      </c>
      <c r="AZ9" s="135">
        <v>3</v>
      </c>
      <c r="BP9" s="135">
        <v>3</v>
      </c>
      <c r="BS9" s="135">
        <v>18</v>
      </c>
      <c r="BT9" s="135">
        <v>6</v>
      </c>
      <c r="CB9" s="700"/>
      <c r="CC9" s="700">
        <f t="shared" si="1"/>
        <v>3</v>
      </c>
      <c r="CD9" s="700"/>
      <c r="CE9" s="700"/>
      <c r="CF9" s="700"/>
      <c r="CG9" s="128"/>
      <c r="CH9" s="128"/>
      <c r="CI9" s="128"/>
      <c r="CJ9" s="128"/>
      <c r="CK9" s="128"/>
      <c r="CL9" s="128"/>
      <c r="CM9" s="128"/>
      <c r="CN9" s="128"/>
      <c r="CO9" s="128"/>
      <c r="CP9" s="128"/>
      <c r="CQ9" s="128"/>
      <c r="CR9" s="128"/>
      <c r="CS9" s="128"/>
      <c r="CT9" s="128"/>
      <c r="CU9" s="128"/>
      <c r="CV9" s="128"/>
      <c r="CW9" s="128"/>
      <c r="CX9" s="128"/>
      <c r="CY9" s="128"/>
      <c r="CZ9" s="128"/>
    </row>
    <row r="10" spans="1:104" s="135" customFormat="1" ht="24.6" customHeight="1">
      <c r="A10" s="432">
        <v>6</v>
      </c>
      <c r="B10" s="453" t="s">
        <v>731</v>
      </c>
      <c r="C10" s="453"/>
      <c r="D10" s="453"/>
      <c r="E10" s="716">
        <v>12</v>
      </c>
      <c r="F10" s="716">
        <v>4</v>
      </c>
      <c r="G10" s="716"/>
      <c r="H10" s="716"/>
      <c r="O10" s="716"/>
      <c r="P10" s="716"/>
      <c r="Q10" s="716"/>
      <c r="R10" s="716"/>
      <c r="S10" s="716"/>
      <c r="T10" s="716"/>
      <c r="U10" s="716"/>
      <c r="AC10" s="135">
        <v>3</v>
      </c>
      <c r="AH10" s="135">
        <v>7</v>
      </c>
      <c r="AK10" s="135">
        <v>3</v>
      </c>
      <c r="AL10" s="135">
        <v>3</v>
      </c>
      <c r="AN10" s="135">
        <v>3</v>
      </c>
      <c r="AR10" s="135">
        <v>1</v>
      </c>
      <c r="AT10" s="716">
        <v>3</v>
      </c>
      <c r="AY10" s="135">
        <v>9</v>
      </c>
      <c r="AZ10" s="135">
        <v>3</v>
      </c>
      <c r="BP10" s="135">
        <v>3</v>
      </c>
      <c r="BS10" s="135">
        <v>18</v>
      </c>
      <c r="BT10" s="135">
        <v>6</v>
      </c>
      <c r="CB10" s="700">
        <f>AN10</f>
        <v>3</v>
      </c>
      <c r="CC10" s="700"/>
      <c r="CD10" s="700"/>
      <c r="CE10" s="700"/>
      <c r="CF10" s="700"/>
      <c r="CG10" s="128"/>
      <c r="CH10" s="128"/>
      <c r="CI10" s="128"/>
      <c r="CJ10" s="128"/>
      <c r="CK10" s="128"/>
      <c r="CL10" s="128"/>
      <c r="CM10" s="128"/>
      <c r="CN10" s="128"/>
      <c r="CO10" s="128"/>
      <c r="CP10" s="128"/>
      <c r="CQ10" s="128"/>
      <c r="CR10" s="128"/>
      <c r="CS10" s="128"/>
      <c r="CT10" s="128"/>
      <c r="CU10" s="128"/>
      <c r="CV10" s="128"/>
      <c r="CW10" s="128"/>
      <c r="CX10" s="128"/>
      <c r="CY10" s="128"/>
      <c r="CZ10" s="128"/>
    </row>
    <row r="11" spans="1:104" s="135" customFormat="1" ht="24.6" customHeight="1">
      <c r="A11" s="432">
        <v>7</v>
      </c>
      <c r="B11" s="453" t="s">
        <v>732</v>
      </c>
      <c r="C11" s="453"/>
      <c r="D11" s="453">
        <v>1</v>
      </c>
      <c r="E11" s="716">
        <v>12</v>
      </c>
      <c r="F11" s="716">
        <v>4</v>
      </c>
      <c r="G11" s="716"/>
      <c r="H11" s="716"/>
      <c r="O11" s="716"/>
      <c r="P11" s="716"/>
      <c r="Q11" s="716"/>
      <c r="R11" s="716"/>
      <c r="S11" s="716"/>
      <c r="T11" s="716"/>
      <c r="U11" s="716"/>
      <c r="AC11" s="135">
        <v>3</v>
      </c>
      <c r="AH11" s="135">
        <v>7</v>
      </c>
      <c r="AK11" s="135">
        <v>3</v>
      </c>
      <c r="AL11" s="135">
        <v>3</v>
      </c>
      <c r="AN11" s="135">
        <v>3</v>
      </c>
      <c r="AR11" s="135">
        <v>1</v>
      </c>
      <c r="AT11" s="716">
        <v>3</v>
      </c>
      <c r="AY11" s="135">
        <v>9</v>
      </c>
      <c r="AZ11" s="135">
        <v>3</v>
      </c>
      <c r="BP11" s="135">
        <v>3</v>
      </c>
      <c r="BS11" s="135">
        <v>18</v>
      </c>
      <c r="BT11" s="135">
        <v>6</v>
      </c>
      <c r="CB11" s="700">
        <f>AN11</f>
        <v>3</v>
      </c>
      <c r="CC11" s="700"/>
      <c r="CD11" s="700"/>
      <c r="CE11" s="700"/>
      <c r="CF11" s="700"/>
      <c r="CG11" s="128"/>
      <c r="CH11" s="128"/>
      <c r="CI11" s="128"/>
      <c r="CJ11" s="128"/>
      <c r="CK11" s="128"/>
      <c r="CL11" s="128"/>
      <c r="CM11" s="128"/>
      <c r="CN11" s="128"/>
      <c r="CO11" s="128"/>
      <c r="CP11" s="128"/>
      <c r="CQ11" s="128"/>
      <c r="CR11" s="128"/>
      <c r="CS11" s="128"/>
      <c r="CT11" s="128"/>
      <c r="CU11" s="128"/>
      <c r="CV11" s="128"/>
      <c r="CW11" s="128"/>
      <c r="CX11" s="128"/>
      <c r="CY11" s="128"/>
      <c r="CZ11" s="128"/>
    </row>
    <row r="12" spans="1:104" s="716" customFormat="1" ht="24.6" customHeight="1">
      <c r="A12" s="718">
        <v>8</v>
      </c>
      <c r="B12" s="719" t="s">
        <v>733</v>
      </c>
      <c r="C12" s="719"/>
      <c r="D12" s="719"/>
      <c r="CB12" s="720"/>
      <c r="CC12" s="720"/>
      <c r="CD12" s="720"/>
      <c r="CE12" s="720"/>
      <c r="CF12" s="720"/>
      <c r="CG12" s="396"/>
      <c r="CH12" s="396"/>
      <c r="CI12" s="396"/>
      <c r="CJ12" s="396"/>
      <c r="CK12" s="396"/>
      <c r="CL12" s="396"/>
      <c r="CM12" s="396"/>
      <c r="CN12" s="396"/>
      <c r="CO12" s="396"/>
      <c r="CP12" s="396"/>
      <c r="CQ12" s="396"/>
      <c r="CR12" s="396"/>
      <c r="CS12" s="396"/>
      <c r="CT12" s="396"/>
      <c r="CU12" s="396"/>
      <c r="CV12" s="396"/>
      <c r="CW12" s="396"/>
      <c r="CX12" s="396"/>
      <c r="CY12" s="396"/>
      <c r="CZ12" s="396"/>
    </row>
    <row r="13" spans="1:104" s="716" customFormat="1" ht="24.6" customHeight="1">
      <c r="A13" s="718">
        <v>9</v>
      </c>
      <c r="B13" s="719" t="s">
        <v>734</v>
      </c>
      <c r="C13" s="719"/>
      <c r="D13" s="719"/>
      <c r="CB13" s="720"/>
      <c r="CC13" s="720"/>
      <c r="CD13" s="720"/>
      <c r="CE13" s="720"/>
      <c r="CF13" s="720"/>
      <c r="CG13" s="396"/>
      <c r="CH13" s="396"/>
      <c r="CI13" s="396"/>
      <c r="CJ13" s="396"/>
      <c r="CK13" s="396"/>
      <c r="CL13" s="396"/>
      <c r="CM13" s="396"/>
      <c r="CN13" s="396"/>
      <c r="CO13" s="396"/>
      <c r="CP13" s="396"/>
      <c r="CQ13" s="396"/>
      <c r="CR13" s="396"/>
      <c r="CS13" s="396"/>
      <c r="CT13" s="396"/>
      <c r="CU13" s="396"/>
      <c r="CV13" s="396"/>
      <c r="CW13" s="396"/>
      <c r="CX13" s="396"/>
      <c r="CY13" s="396"/>
      <c r="CZ13" s="396"/>
    </row>
    <row r="14" spans="1:104" s="135" customFormat="1" ht="24.6" customHeight="1">
      <c r="A14" s="432">
        <v>10</v>
      </c>
      <c r="B14" s="453" t="s">
        <v>735</v>
      </c>
      <c r="C14" s="453"/>
      <c r="D14" s="453"/>
      <c r="E14" s="716"/>
      <c r="F14" s="716"/>
      <c r="G14" s="720">
        <v>12</v>
      </c>
      <c r="H14" s="716">
        <v>4</v>
      </c>
      <c r="J14" s="720"/>
      <c r="O14" s="716"/>
      <c r="P14" s="716"/>
      <c r="Q14" s="716"/>
      <c r="R14" s="716"/>
      <c r="S14" s="716"/>
      <c r="T14" s="716"/>
      <c r="U14" s="716"/>
      <c r="AC14" s="135">
        <v>3</v>
      </c>
      <c r="AJ14" s="135">
        <v>7</v>
      </c>
      <c r="AK14" s="135">
        <v>3</v>
      </c>
      <c r="AL14" s="135">
        <v>3</v>
      </c>
      <c r="AP14" s="135">
        <v>3</v>
      </c>
      <c r="AR14" s="135">
        <v>1</v>
      </c>
      <c r="AT14" s="716">
        <v>3</v>
      </c>
      <c r="BA14" s="135">
        <v>9</v>
      </c>
      <c r="BB14" s="135">
        <v>3</v>
      </c>
      <c r="BP14" s="135">
        <v>3</v>
      </c>
      <c r="BS14" s="135">
        <v>18</v>
      </c>
      <c r="BT14" s="135">
        <v>6</v>
      </c>
      <c r="CB14" s="700"/>
      <c r="CC14" s="700"/>
      <c r="CD14" s="700">
        <f t="shared" ref="CD14:CD17" si="2">AP14</f>
        <v>3</v>
      </c>
      <c r="CE14" s="700"/>
      <c r="CF14" s="700"/>
      <c r="CG14" s="128"/>
      <c r="CH14" s="128"/>
      <c r="CI14" s="128"/>
      <c r="CJ14" s="128"/>
      <c r="CK14" s="128"/>
      <c r="CL14" s="128"/>
      <c r="CM14" s="128"/>
      <c r="CN14" s="128"/>
      <c r="CO14" s="128"/>
      <c r="CP14" s="128"/>
      <c r="CQ14" s="128"/>
      <c r="CR14" s="128"/>
      <c r="CS14" s="128"/>
      <c r="CT14" s="128"/>
      <c r="CU14" s="128"/>
      <c r="CV14" s="128"/>
      <c r="CW14" s="128"/>
      <c r="CX14" s="128"/>
      <c r="CY14" s="128"/>
      <c r="CZ14" s="128"/>
    </row>
    <row r="15" spans="1:104" s="135" customFormat="1" ht="24.6" customHeight="1">
      <c r="A15" s="432">
        <v>11</v>
      </c>
      <c r="B15" s="453" t="s">
        <v>736</v>
      </c>
      <c r="C15" s="453"/>
      <c r="D15" s="453">
        <v>1</v>
      </c>
      <c r="E15" s="716"/>
      <c r="F15" s="716"/>
      <c r="G15" s="720">
        <v>12</v>
      </c>
      <c r="H15" s="716">
        <v>4</v>
      </c>
      <c r="J15" s="720"/>
      <c r="O15" s="716"/>
      <c r="P15" s="716"/>
      <c r="Q15" s="716"/>
      <c r="R15" s="716"/>
      <c r="S15" s="716"/>
      <c r="T15" s="716"/>
      <c r="U15" s="716"/>
      <c r="AC15" s="135">
        <v>3</v>
      </c>
      <c r="AJ15" s="135">
        <v>7</v>
      </c>
      <c r="AK15" s="135">
        <v>3</v>
      </c>
      <c r="AL15" s="135">
        <v>3</v>
      </c>
      <c r="AP15" s="135">
        <v>3</v>
      </c>
      <c r="AR15" s="135">
        <v>1</v>
      </c>
      <c r="AT15" s="716">
        <v>3</v>
      </c>
      <c r="BA15" s="135">
        <v>9</v>
      </c>
      <c r="BB15" s="135">
        <v>3</v>
      </c>
      <c r="BP15" s="135">
        <v>3</v>
      </c>
      <c r="BS15" s="135">
        <v>18</v>
      </c>
      <c r="BT15" s="135">
        <v>6</v>
      </c>
      <c r="CB15" s="700"/>
      <c r="CC15" s="700"/>
      <c r="CD15" s="700">
        <f t="shared" si="2"/>
        <v>3</v>
      </c>
      <c r="CE15" s="700"/>
      <c r="CF15" s="700"/>
      <c r="CG15" s="128"/>
      <c r="CH15" s="128"/>
      <c r="CI15" s="128"/>
      <c r="CJ15" s="128"/>
      <c r="CK15" s="128"/>
      <c r="CL15" s="128"/>
      <c r="CM15" s="128"/>
      <c r="CN15" s="128"/>
      <c r="CO15" s="128"/>
      <c r="CP15" s="128"/>
      <c r="CQ15" s="128"/>
      <c r="CR15" s="128"/>
      <c r="CS15" s="128"/>
      <c r="CT15" s="128"/>
      <c r="CU15" s="128"/>
      <c r="CV15" s="128"/>
      <c r="CW15" s="128"/>
      <c r="CX15" s="128"/>
      <c r="CY15" s="128"/>
      <c r="CZ15" s="128"/>
    </row>
    <row r="16" spans="1:104" s="135" customFormat="1" ht="24.6" customHeight="1">
      <c r="A16" s="432">
        <v>12</v>
      </c>
      <c r="B16" s="453" t="s">
        <v>737</v>
      </c>
      <c r="C16" s="453"/>
      <c r="D16" s="453"/>
      <c r="E16" s="716"/>
      <c r="F16" s="716"/>
      <c r="G16" s="720">
        <v>12</v>
      </c>
      <c r="H16" s="716">
        <v>4</v>
      </c>
      <c r="J16" s="720"/>
      <c r="O16" s="716"/>
      <c r="P16" s="716"/>
      <c r="Q16" s="716"/>
      <c r="R16" s="716"/>
      <c r="S16" s="716"/>
      <c r="T16" s="716"/>
      <c r="U16" s="716"/>
      <c r="AC16" s="135">
        <v>3</v>
      </c>
      <c r="AJ16" s="135">
        <v>7</v>
      </c>
      <c r="AK16" s="135">
        <v>3</v>
      </c>
      <c r="AL16" s="135">
        <v>3</v>
      </c>
      <c r="AP16" s="135">
        <v>3</v>
      </c>
      <c r="AR16" s="135">
        <v>1</v>
      </c>
      <c r="AT16" s="716">
        <v>3</v>
      </c>
      <c r="BA16" s="135">
        <v>9</v>
      </c>
      <c r="BB16" s="135">
        <v>3</v>
      </c>
      <c r="BP16" s="135">
        <v>3</v>
      </c>
      <c r="BS16" s="135">
        <v>18</v>
      </c>
      <c r="BT16" s="135">
        <v>6</v>
      </c>
      <c r="CB16" s="700"/>
      <c r="CC16" s="700"/>
      <c r="CD16" s="700">
        <f t="shared" si="2"/>
        <v>3</v>
      </c>
      <c r="CE16" s="700"/>
      <c r="CF16" s="700"/>
      <c r="CG16" s="128"/>
      <c r="CH16" s="128"/>
      <c r="CI16" s="128"/>
      <c r="CJ16" s="128"/>
      <c r="CK16" s="128"/>
      <c r="CL16" s="128"/>
      <c r="CM16" s="128"/>
      <c r="CN16" s="128"/>
      <c r="CO16" s="128"/>
      <c r="CP16" s="128"/>
      <c r="CQ16" s="128"/>
      <c r="CR16" s="128"/>
      <c r="CS16" s="128"/>
      <c r="CT16" s="128"/>
      <c r="CU16" s="128"/>
      <c r="CV16" s="128"/>
      <c r="CW16" s="128"/>
      <c r="CX16" s="128"/>
      <c r="CY16" s="128"/>
      <c r="CZ16" s="128"/>
    </row>
    <row r="17" spans="1:104" s="135" customFormat="1" ht="24.6" customHeight="1">
      <c r="A17" s="432">
        <v>13</v>
      </c>
      <c r="B17" s="453" t="s">
        <v>738</v>
      </c>
      <c r="C17" s="453"/>
      <c r="D17" s="453">
        <v>1</v>
      </c>
      <c r="E17" s="716"/>
      <c r="F17" s="716"/>
      <c r="G17" s="720">
        <v>12</v>
      </c>
      <c r="H17" s="716">
        <v>4</v>
      </c>
      <c r="J17" s="720"/>
      <c r="O17" s="716"/>
      <c r="P17" s="716"/>
      <c r="Q17" s="716"/>
      <c r="R17" s="716"/>
      <c r="S17" s="716"/>
      <c r="T17" s="716"/>
      <c r="U17" s="716"/>
      <c r="AC17" s="135">
        <v>3</v>
      </c>
      <c r="AJ17" s="135">
        <v>7</v>
      </c>
      <c r="AK17" s="135">
        <v>3</v>
      </c>
      <c r="AL17" s="135">
        <v>3</v>
      </c>
      <c r="AP17" s="135">
        <v>3</v>
      </c>
      <c r="AR17" s="135">
        <v>1</v>
      </c>
      <c r="AT17" s="716">
        <v>3</v>
      </c>
      <c r="BA17" s="135">
        <v>9</v>
      </c>
      <c r="BB17" s="135">
        <v>3</v>
      </c>
      <c r="BP17" s="135">
        <v>3</v>
      </c>
      <c r="BS17" s="135">
        <v>18</v>
      </c>
      <c r="BT17" s="135">
        <v>6</v>
      </c>
      <c r="CB17" s="700"/>
      <c r="CC17" s="700"/>
      <c r="CD17" s="700">
        <f t="shared" si="2"/>
        <v>3</v>
      </c>
      <c r="CE17" s="700"/>
      <c r="CF17" s="700"/>
      <c r="CG17" s="128"/>
      <c r="CH17" s="128"/>
      <c r="CI17" s="128"/>
      <c r="CJ17" s="128"/>
      <c r="CK17" s="128"/>
      <c r="CL17" s="128"/>
      <c r="CM17" s="128"/>
      <c r="CN17" s="128"/>
      <c r="CO17" s="128"/>
      <c r="CP17" s="128"/>
      <c r="CQ17" s="128"/>
      <c r="CR17" s="128"/>
      <c r="CS17" s="128"/>
      <c r="CT17" s="128"/>
      <c r="CU17" s="128"/>
      <c r="CV17" s="128"/>
      <c r="CW17" s="128"/>
      <c r="CX17" s="128"/>
      <c r="CY17" s="128"/>
      <c r="CZ17" s="128"/>
    </row>
    <row r="18" spans="1:104" s="135" customFormat="1" ht="24.6" customHeight="1">
      <c r="A18" s="432">
        <v>14</v>
      </c>
      <c r="B18" s="453" t="s">
        <v>739</v>
      </c>
      <c r="C18" s="453"/>
      <c r="D18" s="453"/>
      <c r="E18" s="716">
        <v>12</v>
      </c>
      <c r="F18" s="716">
        <v>4</v>
      </c>
      <c r="G18" s="716"/>
      <c r="H18" s="716"/>
      <c r="O18" s="716"/>
      <c r="P18" s="716"/>
      <c r="Q18" s="716"/>
      <c r="R18" s="716"/>
      <c r="S18" s="716"/>
      <c r="T18" s="716"/>
      <c r="U18" s="716"/>
      <c r="AC18" s="135">
        <v>3</v>
      </c>
      <c r="AH18" s="135">
        <v>7</v>
      </c>
      <c r="AK18" s="135">
        <v>3</v>
      </c>
      <c r="AL18" s="135">
        <v>3</v>
      </c>
      <c r="AN18" s="135">
        <v>3</v>
      </c>
      <c r="AR18" s="135">
        <v>1</v>
      </c>
      <c r="AT18" s="716">
        <v>3</v>
      </c>
      <c r="AY18" s="135">
        <v>9</v>
      </c>
      <c r="AZ18" s="135">
        <v>3</v>
      </c>
      <c r="BP18" s="135">
        <v>3</v>
      </c>
      <c r="BS18" s="135">
        <v>18</v>
      </c>
      <c r="BT18" s="135">
        <v>6</v>
      </c>
      <c r="CB18" s="700">
        <f t="shared" ref="CB18:CB23" si="3">AN18</f>
        <v>3</v>
      </c>
      <c r="CC18" s="700"/>
      <c r="CD18" s="700"/>
      <c r="CE18" s="700"/>
      <c r="CF18" s="700"/>
      <c r="CG18" s="128"/>
      <c r="CH18" s="128"/>
      <c r="CI18" s="128"/>
      <c r="CJ18" s="128"/>
      <c r="CK18" s="128"/>
      <c r="CL18" s="128"/>
      <c r="CM18" s="128"/>
      <c r="CN18" s="128"/>
      <c r="CO18" s="128"/>
      <c r="CP18" s="128"/>
      <c r="CQ18" s="128"/>
      <c r="CR18" s="128"/>
      <c r="CS18" s="128"/>
      <c r="CT18" s="128"/>
      <c r="CU18" s="128"/>
      <c r="CV18" s="128"/>
      <c r="CW18" s="128"/>
      <c r="CX18" s="128"/>
      <c r="CY18" s="128"/>
      <c r="CZ18" s="128"/>
    </row>
    <row r="19" spans="1:104" s="135" customFormat="1" ht="24.6" customHeight="1">
      <c r="A19" s="432">
        <v>15</v>
      </c>
      <c r="B19" s="453" t="s">
        <v>740</v>
      </c>
      <c r="C19" s="453"/>
      <c r="D19" s="453">
        <v>1</v>
      </c>
      <c r="E19" s="716">
        <v>12</v>
      </c>
      <c r="F19" s="716">
        <v>4</v>
      </c>
      <c r="G19" s="716"/>
      <c r="H19" s="716"/>
      <c r="O19" s="716"/>
      <c r="P19" s="716"/>
      <c r="Q19" s="716"/>
      <c r="R19" s="716"/>
      <c r="S19" s="716"/>
      <c r="T19" s="716"/>
      <c r="U19" s="716"/>
      <c r="AC19" s="135">
        <v>3</v>
      </c>
      <c r="AH19" s="135">
        <v>7</v>
      </c>
      <c r="AK19" s="135">
        <v>3</v>
      </c>
      <c r="AL19" s="135">
        <v>3</v>
      </c>
      <c r="AN19" s="135">
        <v>3</v>
      </c>
      <c r="AR19" s="135">
        <v>1</v>
      </c>
      <c r="AT19" s="716">
        <v>3</v>
      </c>
      <c r="AY19" s="135">
        <v>9</v>
      </c>
      <c r="AZ19" s="135">
        <v>3</v>
      </c>
      <c r="BP19" s="135">
        <v>3</v>
      </c>
      <c r="BS19" s="135">
        <v>18</v>
      </c>
      <c r="BT19" s="135">
        <v>6</v>
      </c>
      <c r="CB19" s="700">
        <f t="shared" si="3"/>
        <v>3</v>
      </c>
      <c r="CC19" s="700"/>
      <c r="CD19" s="700"/>
      <c r="CE19" s="700"/>
      <c r="CF19" s="700"/>
      <c r="CG19" s="128"/>
      <c r="CH19" s="128"/>
      <c r="CI19" s="128"/>
      <c r="CJ19" s="128"/>
      <c r="CK19" s="128"/>
      <c r="CL19" s="128"/>
      <c r="CM19" s="128"/>
      <c r="CN19" s="128"/>
      <c r="CO19" s="128"/>
      <c r="CP19" s="128"/>
      <c r="CQ19" s="128"/>
      <c r="CR19" s="128"/>
      <c r="CS19" s="128"/>
      <c r="CT19" s="128"/>
      <c r="CU19" s="128"/>
      <c r="CV19" s="128"/>
      <c r="CW19" s="128"/>
      <c r="CX19" s="128"/>
      <c r="CY19" s="128"/>
      <c r="CZ19" s="128"/>
    </row>
    <row r="20" spans="1:104" s="135" customFormat="1" ht="24.6" customHeight="1">
      <c r="A20" s="432">
        <v>16</v>
      </c>
      <c r="B20" s="453" t="s">
        <v>741</v>
      </c>
      <c r="C20" s="453"/>
      <c r="D20" s="453"/>
      <c r="E20" s="716">
        <v>12</v>
      </c>
      <c r="F20" s="716">
        <v>4</v>
      </c>
      <c r="G20" s="716"/>
      <c r="H20" s="716"/>
      <c r="O20" s="716"/>
      <c r="P20" s="716"/>
      <c r="Q20" s="716"/>
      <c r="R20" s="716"/>
      <c r="S20" s="716"/>
      <c r="T20" s="716"/>
      <c r="U20" s="716"/>
      <c r="AC20" s="135">
        <v>3</v>
      </c>
      <c r="AH20" s="135">
        <v>7</v>
      </c>
      <c r="AK20" s="135">
        <v>3</v>
      </c>
      <c r="AL20" s="135">
        <v>3</v>
      </c>
      <c r="AN20" s="135">
        <v>3</v>
      </c>
      <c r="AR20" s="135">
        <v>1</v>
      </c>
      <c r="AT20" s="716">
        <v>3</v>
      </c>
      <c r="AY20" s="135">
        <v>9</v>
      </c>
      <c r="AZ20" s="135">
        <v>3</v>
      </c>
      <c r="BP20" s="135">
        <v>3</v>
      </c>
      <c r="BS20" s="135">
        <v>18</v>
      </c>
      <c r="BT20" s="135">
        <v>6</v>
      </c>
      <c r="CB20" s="700">
        <f t="shared" si="3"/>
        <v>3</v>
      </c>
      <c r="CC20" s="700"/>
      <c r="CD20" s="700"/>
      <c r="CE20" s="700"/>
      <c r="CF20" s="700"/>
      <c r="CG20" s="128"/>
      <c r="CH20" s="128"/>
      <c r="CI20" s="128"/>
      <c r="CJ20" s="128"/>
      <c r="CK20" s="128"/>
      <c r="CL20" s="128"/>
      <c r="CM20" s="128"/>
      <c r="CN20" s="128"/>
      <c r="CO20" s="128"/>
      <c r="CP20" s="128"/>
      <c r="CQ20" s="128"/>
      <c r="CR20" s="128"/>
      <c r="CS20" s="128"/>
      <c r="CT20" s="128"/>
      <c r="CU20" s="128"/>
      <c r="CV20" s="128"/>
      <c r="CW20" s="128"/>
      <c r="CX20" s="128"/>
      <c r="CY20" s="128"/>
      <c r="CZ20" s="128"/>
    </row>
    <row r="21" spans="1:104" s="135" customFormat="1" ht="24.6" customHeight="1">
      <c r="A21" s="432">
        <v>17</v>
      </c>
      <c r="B21" s="453" t="s">
        <v>742</v>
      </c>
      <c r="C21" s="453"/>
      <c r="D21" s="453">
        <v>1</v>
      </c>
      <c r="E21" s="716">
        <v>12</v>
      </c>
      <c r="F21" s="716">
        <v>4</v>
      </c>
      <c r="G21" s="716"/>
      <c r="H21" s="716"/>
      <c r="O21" s="716"/>
      <c r="P21" s="716"/>
      <c r="Q21" s="716"/>
      <c r="R21" s="716"/>
      <c r="S21" s="716"/>
      <c r="T21" s="716"/>
      <c r="U21" s="716"/>
      <c r="AC21" s="135">
        <v>3</v>
      </c>
      <c r="AH21" s="135">
        <v>7</v>
      </c>
      <c r="AK21" s="135">
        <v>3</v>
      </c>
      <c r="AL21" s="135">
        <v>3</v>
      </c>
      <c r="AN21" s="135">
        <v>3</v>
      </c>
      <c r="AR21" s="135">
        <v>1</v>
      </c>
      <c r="AT21" s="716">
        <v>3</v>
      </c>
      <c r="AY21" s="135">
        <v>9</v>
      </c>
      <c r="AZ21" s="135">
        <v>3</v>
      </c>
      <c r="BP21" s="135">
        <v>3</v>
      </c>
      <c r="BS21" s="135">
        <v>18</v>
      </c>
      <c r="BT21" s="135">
        <v>6</v>
      </c>
      <c r="CB21" s="700">
        <f t="shared" si="3"/>
        <v>3</v>
      </c>
      <c r="CC21" s="700"/>
      <c r="CD21" s="700"/>
      <c r="CE21" s="700"/>
      <c r="CF21" s="700"/>
      <c r="CG21" s="128"/>
      <c r="CH21" s="128"/>
      <c r="CI21" s="128"/>
      <c r="CJ21" s="128"/>
      <c r="CK21" s="128"/>
      <c r="CL21" s="128"/>
      <c r="CM21" s="128"/>
      <c r="CN21" s="128"/>
      <c r="CO21" s="128"/>
      <c r="CP21" s="128"/>
      <c r="CQ21" s="128"/>
      <c r="CR21" s="128"/>
      <c r="CS21" s="128"/>
      <c r="CT21" s="128"/>
      <c r="CU21" s="128"/>
      <c r="CV21" s="128"/>
      <c r="CW21" s="128"/>
      <c r="CX21" s="128"/>
      <c r="CY21" s="128"/>
      <c r="CZ21" s="128"/>
    </row>
    <row r="22" spans="1:104" s="135" customFormat="1" ht="24.6" customHeight="1">
      <c r="A22" s="432">
        <v>18</v>
      </c>
      <c r="B22" s="453" t="s">
        <v>743</v>
      </c>
      <c r="C22" s="453"/>
      <c r="D22" s="453"/>
      <c r="E22" s="716">
        <v>12</v>
      </c>
      <c r="F22" s="716">
        <v>4</v>
      </c>
      <c r="G22" s="716"/>
      <c r="H22" s="716"/>
      <c r="O22" s="716"/>
      <c r="P22" s="716"/>
      <c r="Q22" s="716"/>
      <c r="R22" s="716"/>
      <c r="S22" s="716"/>
      <c r="T22" s="716"/>
      <c r="U22" s="716"/>
      <c r="AC22" s="135">
        <v>3</v>
      </c>
      <c r="AH22" s="135">
        <v>7</v>
      </c>
      <c r="AK22" s="135">
        <v>3</v>
      </c>
      <c r="AL22" s="135">
        <v>3</v>
      </c>
      <c r="AN22" s="135">
        <v>3</v>
      </c>
      <c r="AR22" s="135">
        <v>1</v>
      </c>
      <c r="AT22" s="716">
        <v>3</v>
      </c>
      <c r="AY22" s="135">
        <v>9</v>
      </c>
      <c r="AZ22" s="135">
        <v>3</v>
      </c>
      <c r="BP22" s="135">
        <v>3</v>
      </c>
      <c r="BS22" s="135">
        <v>18</v>
      </c>
      <c r="BT22" s="135">
        <v>6</v>
      </c>
      <c r="CB22" s="700">
        <f t="shared" si="3"/>
        <v>3</v>
      </c>
      <c r="CC22" s="700"/>
      <c r="CD22" s="700"/>
      <c r="CE22" s="700"/>
      <c r="CF22" s="700"/>
      <c r="CG22" s="128"/>
      <c r="CH22" s="128"/>
      <c r="CI22" s="128"/>
      <c r="CJ22" s="128"/>
      <c r="CK22" s="128"/>
      <c r="CL22" s="128"/>
      <c r="CM22" s="128"/>
      <c r="CN22" s="128"/>
      <c r="CO22" s="128"/>
      <c r="CP22" s="128"/>
      <c r="CQ22" s="128"/>
      <c r="CR22" s="128"/>
      <c r="CS22" s="128"/>
      <c r="CT22" s="128"/>
      <c r="CU22" s="128"/>
      <c r="CV22" s="128"/>
      <c r="CW22" s="128"/>
      <c r="CX22" s="128"/>
      <c r="CY22" s="128"/>
      <c r="CZ22" s="128"/>
    </row>
    <row r="23" spans="1:104" s="135" customFormat="1" ht="24.6" customHeight="1">
      <c r="A23" s="432">
        <v>19</v>
      </c>
      <c r="B23" s="453" t="s">
        <v>744</v>
      </c>
      <c r="C23" s="453"/>
      <c r="D23" s="453">
        <v>1</v>
      </c>
      <c r="E23" s="716">
        <v>12</v>
      </c>
      <c r="F23" s="716">
        <v>4</v>
      </c>
      <c r="G23" s="716"/>
      <c r="H23" s="716"/>
      <c r="O23" s="716"/>
      <c r="P23" s="716"/>
      <c r="Q23" s="716"/>
      <c r="R23" s="716"/>
      <c r="S23" s="716"/>
      <c r="T23" s="716"/>
      <c r="U23" s="716"/>
      <c r="AC23" s="135">
        <v>3</v>
      </c>
      <c r="AH23" s="135">
        <v>7</v>
      </c>
      <c r="AK23" s="135">
        <v>3</v>
      </c>
      <c r="AL23" s="135">
        <v>3</v>
      </c>
      <c r="AN23" s="135">
        <v>3</v>
      </c>
      <c r="AR23" s="135">
        <v>1</v>
      </c>
      <c r="AT23" s="716">
        <v>3</v>
      </c>
      <c r="AY23" s="135">
        <v>9</v>
      </c>
      <c r="AZ23" s="135">
        <v>3</v>
      </c>
      <c r="BP23" s="135">
        <v>3</v>
      </c>
      <c r="BS23" s="135">
        <v>18</v>
      </c>
      <c r="BT23" s="135">
        <v>6</v>
      </c>
      <c r="CB23" s="700">
        <f t="shared" si="3"/>
        <v>3</v>
      </c>
      <c r="CC23" s="700"/>
      <c r="CD23" s="700"/>
      <c r="CE23" s="700"/>
      <c r="CF23" s="700"/>
      <c r="CG23" s="128"/>
      <c r="CH23" s="128"/>
      <c r="CI23" s="128"/>
      <c r="CJ23" s="128"/>
      <c r="CK23" s="128"/>
      <c r="CL23" s="128"/>
      <c r="CM23" s="128"/>
      <c r="CN23" s="128"/>
      <c r="CO23" s="128"/>
      <c r="CP23" s="128"/>
      <c r="CQ23" s="128"/>
      <c r="CR23" s="128"/>
      <c r="CS23" s="128"/>
      <c r="CT23" s="128"/>
      <c r="CU23" s="128"/>
      <c r="CV23" s="128"/>
      <c r="CW23" s="128"/>
      <c r="CX23" s="128"/>
      <c r="CY23" s="128"/>
      <c r="CZ23" s="128"/>
    </row>
    <row r="24" spans="1:104" s="431" customFormat="1" ht="24.6" customHeight="1">
      <c r="A24" s="432">
        <v>20</v>
      </c>
      <c r="B24" s="453" t="s">
        <v>745</v>
      </c>
      <c r="C24" s="453"/>
      <c r="D24" s="453"/>
      <c r="E24" s="135"/>
      <c r="F24" s="135"/>
      <c r="G24" s="135"/>
      <c r="H24" s="135"/>
      <c r="I24" s="135"/>
      <c r="J24" s="135"/>
      <c r="K24" s="135"/>
      <c r="L24" s="135"/>
      <c r="M24" s="135"/>
      <c r="N24" s="135"/>
      <c r="O24" s="716"/>
      <c r="P24" s="716"/>
      <c r="Q24" s="716"/>
      <c r="R24" s="716"/>
      <c r="S24" s="716"/>
      <c r="T24" s="716"/>
      <c r="U24" s="716"/>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716"/>
      <c r="AU24" s="135">
        <v>3</v>
      </c>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v>3</v>
      </c>
      <c r="BR24" s="135"/>
      <c r="BS24" s="135"/>
      <c r="BT24" s="135"/>
      <c r="BU24" s="135"/>
      <c r="BV24" s="135"/>
      <c r="BW24" s="135"/>
      <c r="BX24" s="135"/>
      <c r="BY24" s="135"/>
      <c r="BZ24" s="135"/>
      <c r="CA24" s="135"/>
      <c r="CB24" s="700"/>
      <c r="CC24" s="700"/>
      <c r="CD24" s="700"/>
      <c r="CE24" s="700"/>
      <c r="CF24" s="700"/>
      <c r="CG24" s="128"/>
      <c r="CH24" s="128"/>
      <c r="CI24" s="128"/>
      <c r="CJ24" s="128"/>
      <c r="CK24" s="128"/>
      <c r="CL24" s="128"/>
      <c r="CM24" s="128"/>
      <c r="CN24" s="128"/>
      <c r="CO24" s="128"/>
      <c r="CP24" s="128"/>
      <c r="CQ24" s="128"/>
      <c r="CR24" s="128"/>
      <c r="CS24" s="128"/>
      <c r="CT24" s="128"/>
      <c r="CU24" s="128"/>
      <c r="CV24" s="128"/>
      <c r="CW24" s="128"/>
      <c r="CX24" s="128"/>
      <c r="CY24" s="128"/>
      <c r="CZ24" s="128"/>
    </row>
    <row r="25" spans="1:104" s="431" customFormat="1" ht="24.6" customHeight="1">
      <c r="A25" s="432">
        <v>21</v>
      </c>
      <c r="B25" s="453" t="s">
        <v>746</v>
      </c>
      <c r="C25" s="453"/>
      <c r="D25" s="453"/>
      <c r="E25" s="135"/>
      <c r="F25" s="135"/>
      <c r="G25" s="135"/>
      <c r="H25" s="135"/>
      <c r="I25" s="135"/>
      <c r="J25" s="135"/>
      <c r="K25" s="135"/>
      <c r="L25" s="135"/>
      <c r="M25" s="135"/>
      <c r="N25" s="135"/>
      <c r="O25" s="716"/>
      <c r="P25" s="716"/>
      <c r="Q25" s="716"/>
      <c r="R25" s="716"/>
      <c r="S25" s="716"/>
      <c r="T25" s="716"/>
      <c r="U25" s="716"/>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716"/>
      <c r="AU25" s="135">
        <v>3</v>
      </c>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v>3</v>
      </c>
      <c r="BR25" s="135"/>
      <c r="BS25" s="135"/>
      <c r="BT25" s="135"/>
      <c r="BU25" s="135"/>
      <c r="BV25" s="135"/>
      <c r="BW25" s="135"/>
      <c r="BX25" s="135"/>
      <c r="BY25" s="135"/>
      <c r="BZ25" s="135"/>
      <c r="CA25" s="135"/>
      <c r="CB25" s="700"/>
      <c r="CC25" s="700"/>
      <c r="CD25" s="700"/>
      <c r="CE25" s="700"/>
      <c r="CF25" s="700"/>
      <c r="CG25" s="128"/>
      <c r="CH25" s="128"/>
      <c r="CI25" s="128"/>
      <c r="CJ25" s="128"/>
      <c r="CK25" s="128"/>
      <c r="CL25" s="128"/>
      <c r="CM25" s="128"/>
      <c r="CN25" s="128"/>
      <c r="CO25" s="128"/>
      <c r="CP25" s="128"/>
      <c r="CQ25" s="128"/>
      <c r="CR25" s="128"/>
      <c r="CS25" s="128"/>
      <c r="CT25" s="128"/>
      <c r="CU25" s="128"/>
      <c r="CV25" s="128"/>
      <c r="CW25" s="128"/>
      <c r="CX25" s="128"/>
      <c r="CY25" s="128"/>
      <c r="CZ25" s="128"/>
    </row>
    <row r="26" spans="1:104" s="431" customFormat="1" ht="24.6" customHeight="1">
      <c r="A26" s="432">
        <v>22</v>
      </c>
      <c r="B26" s="453" t="s">
        <v>747</v>
      </c>
      <c r="C26" s="453"/>
      <c r="D26" s="453"/>
      <c r="E26" s="135"/>
      <c r="F26" s="135"/>
      <c r="G26" s="135"/>
      <c r="H26" s="135"/>
      <c r="I26" s="135"/>
      <c r="J26" s="135"/>
      <c r="K26" s="135"/>
      <c r="L26" s="135"/>
      <c r="M26" s="135"/>
      <c r="N26" s="135"/>
      <c r="O26" s="716"/>
      <c r="P26" s="716"/>
      <c r="Q26" s="716"/>
      <c r="R26" s="716"/>
      <c r="S26" s="716"/>
      <c r="T26" s="716"/>
      <c r="U26" s="716"/>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716"/>
      <c r="AU26" s="135"/>
      <c r="AV26" s="135">
        <v>6</v>
      </c>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v>6</v>
      </c>
      <c r="BS26" s="135"/>
      <c r="BT26" s="135"/>
      <c r="BU26" s="135"/>
      <c r="BV26" s="135"/>
      <c r="BW26" s="135"/>
      <c r="BX26" s="135"/>
      <c r="BY26" s="135"/>
      <c r="BZ26" s="135"/>
      <c r="CA26" s="135"/>
      <c r="CB26" s="700"/>
      <c r="CC26" s="700"/>
      <c r="CD26" s="700"/>
      <c r="CE26" s="700"/>
      <c r="CF26" s="700"/>
      <c r="CG26" s="128"/>
      <c r="CH26" s="128"/>
      <c r="CI26" s="128"/>
      <c r="CJ26" s="128"/>
      <c r="CK26" s="128"/>
      <c r="CL26" s="128"/>
      <c r="CM26" s="128"/>
      <c r="CN26" s="128"/>
      <c r="CO26" s="128"/>
      <c r="CP26" s="128"/>
      <c r="CQ26" s="128"/>
      <c r="CR26" s="128"/>
      <c r="CS26" s="128"/>
      <c r="CT26" s="128"/>
      <c r="CU26" s="128"/>
      <c r="CV26" s="128"/>
      <c r="CW26" s="128"/>
      <c r="CX26" s="128"/>
      <c r="CY26" s="128"/>
      <c r="CZ26" s="128"/>
    </row>
    <row r="27" spans="1:104" s="431" customFormat="1" ht="24.6" customHeight="1">
      <c r="A27" s="432">
        <v>23</v>
      </c>
      <c r="B27" s="453" t="s">
        <v>748</v>
      </c>
      <c r="C27" s="453"/>
      <c r="D27" s="453"/>
      <c r="E27" s="135"/>
      <c r="F27" s="135"/>
      <c r="G27" s="135"/>
      <c r="H27" s="135"/>
      <c r="I27" s="135"/>
      <c r="J27" s="135"/>
      <c r="K27" s="135"/>
      <c r="L27" s="135"/>
      <c r="M27" s="135"/>
      <c r="N27" s="135"/>
      <c r="O27" s="716"/>
      <c r="P27" s="716"/>
      <c r="Q27" s="716"/>
      <c r="R27" s="716"/>
      <c r="S27" s="716"/>
      <c r="T27" s="716"/>
      <c r="U27" s="716"/>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716"/>
      <c r="AU27" s="135"/>
      <c r="AV27" s="135">
        <v>6</v>
      </c>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v>6</v>
      </c>
      <c r="BS27" s="135"/>
      <c r="BT27" s="135"/>
      <c r="BU27" s="135"/>
      <c r="BV27" s="135"/>
      <c r="BW27" s="135"/>
      <c r="BX27" s="135"/>
      <c r="BY27" s="135"/>
      <c r="BZ27" s="135"/>
      <c r="CA27" s="135"/>
      <c r="CB27" s="700"/>
      <c r="CC27" s="700"/>
      <c r="CD27" s="700"/>
      <c r="CE27" s="700"/>
      <c r="CF27" s="700"/>
      <c r="CG27" s="128"/>
      <c r="CH27" s="128"/>
      <c r="CI27" s="128"/>
      <c r="CJ27" s="128"/>
      <c r="CK27" s="128"/>
      <c r="CL27" s="128"/>
      <c r="CM27" s="128"/>
      <c r="CN27" s="128"/>
      <c r="CO27" s="128"/>
      <c r="CP27" s="128"/>
      <c r="CQ27" s="128"/>
      <c r="CR27" s="128"/>
      <c r="CS27" s="128"/>
      <c r="CT27" s="128"/>
      <c r="CU27" s="128"/>
      <c r="CV27" s="128"/>
      <c r="CW27" s="128"/>
      <c r="CX27" s="128"/>
      <c r="CY27" s="128"/>
      <c r="CZ27" s="128"/>
    </row>
    <row r="28" spans="1:104" s="431" customFormat="1" ht="24.6" customHeight="1">
      <c r="A28" s="432">
        <v>24</v>
      </c>
      <c r="B28" s="453" t="s">
        <v>749</v>
      </c>
      <c r="C28" s="453"/>
      <c r="D28" s="453"/>
      <c r="E28" s="135"/>
      <c r="F28" s="135"/>
      <c r="G28" s="135"/>
      <c r="H28" s="135"/>
      <c r="I28" s="135"/>
      <c r="J28" s="135"/>
      <c r="K28" s="135"/>
      <c r="L28" s="135"/>
      <c r="M28" s="135"/>
      <c r="N28" s="135"/>
      <c r="O28" s="716"/>
      <c r="P28" s="716"/>
      <c r="Q28" s="716"/>
      <c r="R28" s="716"/>
      <c r="S28" s="716"/>
      <c r="T28" s="716"/>
      <c r="U28" s="716"/>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716"/>
      <c r="AU28" s="135"/>
      <c r="AV28" s="135">
        <v>6</v>
      </c>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v>6</v>
      </c>
      <c r="BS28" s="135"/>
      <c r="BT28" s="135"/>
      <c r="BU28" s="135"/>
      <c r="BV28" s="135"/>
      <c r="BW28" s="135"/>
      <c r="BX28" s="135"/>
      <c r="BY28" s="135"/>
      <c r="BZ28" s="135"/>
      <c r="CA28" s="135"/>
      <c r="CB28" s="700"/>
      <c r="CC28" s="700"/>
      <c r="CD28" s="700"/>
      <c r="CE28" s="700"/>
      <c r="CF28" s="700"/>
      <c r="CG28" s="128"/>
      <c r="CH28" s="128"/>
      <c r="CI28" s="128"/>
      <c r="CJ28" s="128"/>
      <c r="CK28" s="128"/>
      <c r="CL28" s="128"/>
      <c r="CM28" s="128"/>
      <c r="CN28" s="128"/>
      <c r="CO28" s="128"/>
      <c r="CP28" s="128"/>
      <c r="CQ28" s="128"/>
      <c r="CR28" s="128"/>
      <c r="CS28" s="128"/>
      <c r="CT28" s="128"/>
      <c r="CU28" s="128"/>
      <c r="CV28" s="128"/>
      <c r="CW28" s="128"/>
      <c r="CX28" s="128"/>
      <c r="CY28" s="128"/>
      <c r="CZ28" s="128"/>
    </row>
    <row r="29" spans="1:104" s="723" customFormat="1" ht="24.6" customHeight="1">
      <c r="A29" s="718">
        <v>26</v>
      </c>
      <c r="B29" s="722" t="s">
        <v>750</v>
      </c>
      <c r="C29" s="722" t="s">
        <v>1056</v>
      </c>
      <c r="D29" s="722"/>
      <c r="E29" s="716"/>
      <c r="F29" s="716"/>
      <c r="G29" s="716"/>
      <c r="H29" s="716"/>
      <c r="I29" s="716"/>
      <c r="J29" s="716"/>
      <c r="K29" s="716"/>
      <c r="L29" s="716"/>
      <c r="M29" s="716"/>
      <c r="N29" s="716"/>
      <c r="O29" s="716"/>
      <c r="P29" s="716"/>
      <c r="Q29" s="716"/>
      <c r="R29" s="716"/>
      <c r="S29" s="716">
        <v>1</v>
      </c>
      <c r="T29" s="716"/>
      <c r="U29" s="716"/>
      <c r="V29" s="716"/>
      <c r="W29" s="716"/>
      <c r="X29" s="716"/>
      <c r="Y29" s="716"/>
      <c r="Z29" s="716">
        <v>1</v>
      </c>
      <c r="AA29" s="716"/>
      <c r="AB29" s="716"/>
      <c r="AC29" s="716"/>
      <c r="AD29" s="716"/>
      <c r="AE29" s="716"/>
      <c r="AF29" s="716"/>
      <c r="AG29" s="716"/>
      <c r="AH29" s="716"/>
      <c r="AI29" s="716"/>
      <c r="AJ29" s="716"/>
      <c r="AK29" s="716"/>
      <c r="AL29" s="716"/>
      <c r="AM29" s="716"/>
      <c r="AN29" s="716"/>
      <c r="AO29" s="716"/>
      <c r="AP29" s="716"/>
      <c r="AQ29" s="716"/>
      <c r="AR29" s="716"/>
      <c r="AS29" s="716"/>
      <c r="AT29" s="716"/>
      <c r="AU29" s="716"/>
      <c r="AV29" s="716"/>
      <c r="AW29" s="716"/>
      <c r="AX29" s="716">
        <v>6</v>
      </c>
      <c r="AY29" s="716"/>
      <c r="AZ29" s="716"/>
      <c r="BA29" s="716"/>
      <c r="BB29" s="716"/>
      <c r="BC29" s="716"/>
      <c r="BD29" s="716"/>
      <c r="BE29" s="716"/>
      <c r="BF29" s="716"/>
      <c r="BG29" s="716"/>
      <c r="BH29" s="716"/>
      <c r="BI29" s="716"/>
      <c r="BJ29" s="716"/>
      <c r="BK29" s="716">
        <v>1</v>
      </c>
      <c r="BL29" s="716"/>
      <c r="BM29" s="716"/>
      <c r="BN29" s="716"/>
      <c r="BO29" s="716"/>
      <c r="BP29" s="716"/>
      <c r="BQ29" s="716"/>
      <c r="BR29" s="716"/>
      <c r="BS29" s="716"/>
      <c r="BT29" s="716"/>
      <c r="BU29" s="716">
        <v>1</v>
      </c>
      <c r="BV29" s="716"/>
      <c r="BW29" s="716"/>
      <c r="BX29" s="716"/>
      <c r="BY29" s="716"/>
      <c r="BZ29" s="716"/>
      <c r="CA29" s="716"/>
      <c r="CB29" s="720"/>
      <c r="CC29" s="720"/>
      <c r="CD29" s="720"/>
      <c r="CE29" s="720"/>
      <c r="CF29" s="720"/>
      <c r="CG29" s="396"/>
      <c r="CH29" s="396"/>
      <c r="CI29" s="396"/>
      <c r="CJ29" s="396"/>
      <c r="CK29" s="396"/>
      <c r="CL29" s="396"/>
      <c r="CM29" s="396"/>
      <c r="CN29" s="396"/>
      <c r="CO29" s="396"/>
      <c r="CP29" s="396"/>
      <c r="CQ29" s="396"/>
      <c r="CR29" s="396"/>
      <c r="CS29" s="396"/>
      <c r="CT29" s="396"/>
      <c r="CU29" s="396"/>
      <c r="CV29" s="396"/>
      <c r="CW29" s="396"/>
      <c r="CX29" s="396"/>
      <c r="CY29" s="396"/>
      <c r="CZ29" s="396"/>
    </row>
    <row r="30" spans="1:104" s="723" customFormat="1" ht="24.6" customHeight="1">
      <c r="A30" s="718">
        <v>27</v>
      </c>
      <c r="B30" s="722" t="s">
        <v>751</v>
      </c>
      <c r="C30" s="722" t="s">
        <v>1055</v>
      </c>
      <c r="D30" s="722"/>
      <c r="E30" s="716"/>
      <c r="F30" s="716"/>
      <c r="G30" s="716"/>
      <c r="H30" s="716"/>
      <c r="I30" s="716"/>
      <c r="J30" s="716"/>
      <c r="K30" s="716"/>
      <c r="L30" s="716"/>
      <c r="M30" s="716"/>
      <c r="N30" s="716"/>
      <c r="O30" s="716"/>
      <c r="P30" s="716"/>
      <c r="Q30" s="716"/>
      <c r="R30" s="716">
        <v>1</v>
      </c>
      <c r="S30" s="716"/>
      <c r="T30" s="716"/>
      <c r="U30" s="716"/>
      <c r="V30" s="716"/>
      <c r="W30" s="716"/>
      <c r="X30" s="716"/>
      <c r="Y30" s="716"/>
      <c r="Z30" s="716">
        <v>1</v>
      </c>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6">
        <v>3</v>
      </c>
      <c r="AY30" s="716"/>
      <c r="AZ30" s="716"/>
      <c r="BA30" s="716"/>
      <c r="BB30" s="716"/>
      <c r="BC30" s="716"/>
      <c r="BD30" s="716"/>
      <c r="BE30" s="716"/>
      <c r="BF30" s="716"/>
      <c r="BG30" s="716"/>
      <c r="BH30" s="716"/>
      <c r="BI30" s="716"/>
      <c r="BJ30" s="716">
        <v>1</v>
      </c>
      <c r="BK30" s="716"/>
      <c r="BL30" s="716"/>
      <c r="BM30" s="716"/>
      <c r="BN30" s="716"/>
      <c r="BO30" s="716"/>
      <c r="BP30" s="716"/>
      <c r="BQ30" s="716"/>
      <c r="BR30" s="716"/>
      <c r="BS30" s="716"/>
      <c r="BT30" s="716"/>
      <c r="BU30" s="716">
        <v>1</v>
      </c>
      <c r="BV30" s="716"/>
      <c r="BW30" s="716"/>
      <c r="BX30" s="716"/>
      <c r="BY30" s="716"/>
      <c r="BZ30" s="716"/>
      <c r="CA30" s="716"/>
      <c r="CB30" s="720"/>
      <c r="CC30" s="720"/>
      <c r="CD30" s="720"/>
      <c r="CE30" s="720"/>
      <c r="CF30" s="720"/>
      <c r="CG30" s="396"/>
      <c r="CH30" s="396"/>
      <c r="CI30" s="396"/>
      <c r="CJ30" s="396"/>
      <c r="CK30" s="396"/>
      <c r="CL30" s="396"/>
      <c r="CM30" s="396"/>
      <c r="CN30" s="396"/>
      <c r="CO30" s="396"/>
      <c r="CP30" s="396"/>
      <c r="CQ30" s="396"/>
      <c r="CR30" s="396"/>
      <c r="CS30" s="396"/>
      <c r="CT30" s="396"/>
      <c r="CU30" s="396"/>
      <c r="CV30" s="396"/>
      <c r="CW30" s="396"/>
      <c r="CX30" s="396"/>
      <c r="CY30" s="396"/>
      <c r="CZ30" s="396"/>
    </row>
    <row r="31" spans="1:104" s="723" customFormat="1" ht="24.6" customHeight="1">
      <c r="A31" s="718">
        <v>28</v>
      </c>
      <c r="B31" s="722" t="s">
        <v>752</v>
      </c>
      <c r="C31" s="722" t="s">
        <v>1055</v>
      </c>
      <c r="D31" s="722"/>
      <c r="E31" s="716"/>
      <c r="F31" s="716"/>
      <c r="G31" s="716"/>
      <c r="H31" s="716"/>
      <c r="I31" s="716"/>
      <c r="J31" s="716"/>
      <c r="K31" s="716"/>
      <c r="L31" s="716"/>
      <c r="M31" s="716"/>
      <c r="N31" s="716"/>
      <c r="O31" s="716"/>
      <c r="P31" s="716"/>
      <c r="Q31" s="716"/>
      <c r="R31" s="716">
        <v>1</v>
      </c>
      <c r="S31" s="716"/>
      <c r="T31" s="716"/>
      <c r="U31" s="716"/>
      <c r="V31" s="716"/>
      <c r="W31" s="716"/>
      <c r="X31" s="716"/>
      <c r="Y31" s="716"/>
      <c r="Z31" s="716">
        <v>1</v>
      </c>
      <c r="AA31" s="716"/>
      <c r="AB31" s="716"/>
      <c r="AC31" s="716"/>
      <c r="AD31" s="716"/>
      <c r="AE31" s="716"/>
      <c r="AF31" s="716"/>
      <c r="AG31" s="716"/>
      <c r="AH31" s="716"/>
      <c r="AI31" s="716"/>
      <c r="AJ31" s="716"/>
      <c r="AK31" s="716"/>
      <c r="AL31" s="716"/>
      <c r="AM31" s="716"/>
      <c r="AN31" s="716"/>
      <c r="AO31" s="716"/>
      <c r="AP31" s="716"/>
      <c r="AQ31" s="716"/>
      <c r="AR31" s="716"/>
      <c r="AS31" s="716"/>
      <c r="AT31" s="716"/>
      <c r="AU31" s="716"/>
      <c r="AV31" s="716"/>
      <c r="AW31" s="716"/>
      <c r="AX31" s="716">
        <v>3</v>
      </c>
      <c r="AY31" s="716"/>
      <c r="AZ31" s="716"/>
      <c r="BA31" s="716"/>
      <c r="BB31" s="716"/>
      <c r="BC31" s="716"/>
      <c r="BD31" s="716"/>
      <c r="BE31" s="716"/>
      <c r="BF31" s="716"/>
      <c r="BG31" s="716"/>
      <c r="BH31" s="716"/>
      <c r="BI31" s="716"/>
      <c r="BJ31" s="716">
        <v>1</v>
      </c>
      <c r="BK31" s="716"/>
      <c r="BL31" s="716"/>
      <c r="BM31" s="716"/>
      <c r="BN31" s="716"/>
      <c r="BO31" s="716"/>
      <c r="BP31" s="716"/>
      <c r="BQ31" s="716"/>
      <c r="BR31" s="716"/>
      <c r="BS31" s="716"/>
      <c r="BT31" s="716"/>
      <c r="BU31" s="716">
        <v>1</v>
      </c>
      <c r="BV31" s="716"/>
      <c r="BW31" s="716"/>
      <c r="BX31" s="716"/>
      <c r="BY31" s="716"/>
      <c r="BZ31" s="716"/>
      <c r="CA31" s="716"/>
      <c r="CB31" s="720"/>
      <c r="CC31" s="720"/>
      <c r="CD31" s="720"/>
      <c r="CE31" s="720"/>
      <c r="CF31" s="720"/>
      <c r="CG31" s="396"/>
      <c r="CH31" s="396"/>
      <c r="CI31" s="396"/>
      <c r="CJ31" s="396"/>
      <c r="CK31" s="396"/>
      <c r="CL31" s="396"/>
      <c r="CM31" s="396"/>
      <c r="CN31" s="396"/>
      <c r="CO31" s="396"/>
      <c r="CP31" s="396"/>
      <c r="CQ31" s="396"/>
      <c r="CR31" s="396"/>
      <c r="CS31" s="396"/>
      <c r="CT31" s="396"/>
      <c r="CU31" s="396"/>
      <c r="CV31" s="396"/>
      <c r="CW31" s="396"/>
      <c r="CX31" s="396"/>
      <c r="CY31" s="396"/>
      <c r="CZ31" s="396"/>
    </row>
    <row r="32" spans="1:104" s="723" customFormat="1" ht="24.6" customHeight="1">
      <c r="A32" s="718">
        <v>29</v>
      </c>
      <c r="B32" s="722" t="s">
        <v>753</v>
      </c>
      <c r="C32" s="722" t="s">
        <v>1057</v>
      </c>
      <c r="D32" s="722"/>
      <c r="E32" s="716"/>
      <c r="F32" s="716"/>
      <c r="G32" s="716"/>
      <c r="H32" s="716"/>
      <c r="I32" s="716"/>
      <c r="J32" s="716"/>
      <c r="K32" s="716"/>
      <c r="L32" s="716"/>
      <c r="M32" s="716"/>
      <c r="N32" s="716"/>
      <c r="O32" s="716"/>
      <c r="P32" s="716">
        <v>1</v>
      </c>
      <c r="Q32" s="716"/>
      <c r="R32" s="716"/>
      <c r="S32" s="716"/>
      <c r="T32" s="716"/>
      <c r="U32" s="716"/>
      <c r="V32" s="716"/>
      <c r="W32" s="716"/>
      <c r="X32" s="716"/>
      <c r="Y32" s="716"/>
      <c r="Z32" s="716"/>
      <c r="AA32" s="716"/>
      <c r="AB32" s="716"/>
      <c r="AC32" s="716"/>
      <c r="AD32" s="716"/>
      <c r="AE32" s="716"/>
      <c r="AF32" s="716"/>
      <c r="AG32" s="716"/>
      <c r="AH32" s="716"/>
      <c r="AI32" s="716"/>
      <c r="AJ32" s="716"/>
      <c r="AK32" s="716"/>
      <c r="AL32" s="716"/>
      <c r="AM32" s="716"/>
      <c r="AN32" s="716"/>
      <c r="AO32" s="716"/>
      <c r="AP32" s="716"/>
      <c r="AQ32" s="716"/>
      <c r="AR32" s="716"/>
      <c r="AS32" s="716"/>
      <c r="AT32" s="716"/>
      <c r="AU32" s="716"/>
      <c r="AV32" s="716"/>
      <c r="AW32" s="716">
        <v>6</v>
      </c>
      <c r="AX32" s="716">
        <v>4</v>
      </c>
      <c r="AY32" s="716"/>
      <c r="AZ32" s="716"/>
      <c r="BA32" s="716"/>
      <c r="BB32" s="716"/>
      <c r="BC32" s="716"/>
      <c r="BD32" s="716"/>
      <c r="BE32" s="716"/>
      <c r="BF32" s="716"/>
      <c r="BG32" s="716"/>
      <c r="BH32" s="716">
        <v>1</v>
      </c>
      <c r="BI32" s="716"/>
      <c r="BJ32" s="716"/>
      <c r="BK32" s="716"/>
      <c r="BL32" s="716"/>
      <c r="BM32" s="716"/>
      <c r="BN32" s="716"/>
      <c r="BO32" s="716"/>
      <c r="BP32" s="716"/>
      <c r="BQ32" s="716"/>
      <c r="BR32" s="716"/>
      <c r="BS32" s="716"/>
      <c r="BT32" s="716"/>
      <c r="BU32" s="716"/>
      <c r="BV32" s="716"/>
      <c r="BW32" s="716"/>
      <c r="BX32" s="716"/>
      <c r="BY32" s="716"/>
      <c r="BZ32" s="716"/>
      <c r="CA32" s="716"/>
      <c r="CB32" s="720"/>
      <c r="CC32" s="720"/>
      <c r="CD32" s="720"/>
      <c r="CE32" s="720"/>
      <c r="CF32" s="720"/>
      <c r="CG32" s="396"/>
      <c r="CH32" s="396"/>
      <c r="CI32" s="396"/>
      <c r="CJ32" s="396"/>
      <c r="CK32" s="396"/>
      <c r="CL32" s="396"/>
      <c r="CM32" s="396"/>
      <c r="CN32" s="396"/>
      <c r="CO32" s="396"/>
      <c r="CP32" s="396"/>
      <c r="CQ32" s="396"/>
      <c r="CR32" s="396"/>
      <c r="CS32" s="396"/>
      <c r="CT32" s="396"/>
      <c r="CU32" s="396"/>
      <c r="CV32" s="396"/>
      <c r="CW32" s="396"/>
      <c r="CX32" s="396"/>
      <c r="CY32" s="396"/>
      <c r="CZ32" s="396"/>
    </row>
    <row r="33" spans="1:104" s="723" customFormat="1" ht="24.6" customHeight="1">
      <c r="A33" s="718">
        <v>30</v>
      </c>
      <c r="B33" s="722" t="s">
        <v>754</v>
      </c>
      <c r="C33" s="722" t="s">
        <v>1055</v>
      </c>
      <c r="D33" s="722"/>
      <c r="E33" s="716"/>
      <c r="F33" s="716"/>
      <c r="G33" s="716"/>
      <c r="H33" s="716"/>
      <c r="I33" s="716"/>
      <c r="J33" s="716"/>
      <c r="K33" s="716"/>
      <c r="L33" s="716"/>
      <c r="M33" s="716"/>
      <c r="N33" s="716"/>
      <c r="O33" s="716"/>
      <c r="P33" s="716"/>
      <c r="Q33" s="716"/>
      <c r="R33" s="716">
        <v>1</v>
      </c>
      <c r="S33" s="716"/>
      <c r="T33" s="716"/>
      <c r="U33" s="716"/>
      <c r="V33" s="716"/>
      <c r="W33" s="716"/>
      <c r="X33" s="716"/>
      <c r="Y33" s="716"/>
      <c r="Z33" s="716">
        <v>1</v>
      </c>
      <c r="AA33" s="716"/>
      <c r="AB33" s="716"/>
      <c r="AC33" s="716"/>
      <c r="AD33" s="716"/>
      <c r="AE33" s="716"/>
      <c r="AF33" s="716"/>
      <c r="AG33" s="716"/>
      <c r="AH33" s="716"/>
      <c r="AI33" s="716"/>
      <c r="AJ33" s="716"/>
      <c r="AK33" s="716"/>
      <c r="AL33" s="716"/>
      <c r="AM33" s="716"/>
      <c r="AN33" s="716"/>
      <c r="AO33" s="716"/>
      <c r="AP33" s="716"/>
      <c r="AQ33" s="716"/>
      <c r="AR33" s="716"/>
      <c r="AS33" s="716"/>
      <c r="AT33" s="716"/>
      <c r="AU33" s="716"/>
      <c r="AV33" s="716"/>
      <c r="AW33" s="716"/>
      <c r="AX33" s="716">
        <v>3</v>
      </c>
      <c r="AY33" s="716"/>
      <c r="AZ33" s="716"/>
      <c r="BA33" s="716"/>
      <c r="BB33" s="716"/>
      <c r="BC33" s="716"/>
      <c r="BD33" s="716"/>
      <c r="BE33" s="716"/>
      <c r="BF33" s="716"/>
      <c r="BG33" s="716"/>
      <c r="BH33" s="716"/>
      <c r="BI33" s="716"/>
      <c r="BJ33" s="716">
        <v>1</v>
      </c>
      <c r="BK33" s="716"/>
      <c r="BL33" s="716"/>
      <c r="BM33" s="716"/>
      <c r="BN33" s="716"/>
      <c r="BO33" s="716"/>
      <c r="BP33" s="716"/>
      <c r="BQ33" s="716"/>
      <c r="BR33" s="716"/>
      <c r="BS33" s="716"/>
      <c r="BT33" s="716"/>
      <c r="BU33" s="716">
        <v>1</v>
      </c>
      <c r="BV33" s="716"/>
      <c r="BW33" s="716"/>
      <c r="BX33" s="716"/>
      <c r="BY33" s="716"/>
      <c r="BZ33" s="716"/>
      <c r="CA33" s="716"/>
      <c r="CB33" s="720"/>
      <c r="CC33" s="720"/>
      <c r="CD33" s="720"/>
      <c r="CE33" s="720"/>
      <c r="CF33" s="720"/>
      <c r="CG33" s="396"/>
      <c r="CH33" s="396"/>
      <c r="CI33" s="396"/>
      <c r="CJ33" s="396"/>
      <c r="CK33" s="396"/>
      <c r="CL33" s="396"/>
      <c r="CM33" s="396"/>
      <c r="CN33" s="396"/>
      <c r="CO33" s="396"/>
      <c r="CP33" s="396"/>
      <c r="CQ33" s="396"/>
      <c r="CR33" s="396"/>
      <c r="CS33" s="396"/>
      <c r="CT33" s="396"/>
      <c r="CU33" s="396"/>
      <c r="CV33" s="396"/>
      <c r="CW33" s="396"/>
      <c r="CX33" s="396"/>
      <c r="CY33" s="396"/>
      <c r="CZ33" s="396"/>
    </row>
    <row r="34" spans="1:104" s="723" customFormat="1" ht="24.6" customHeight="1">
      <c r="A34" s="718">
        <v>31</v>
      </c>
      <c r="B34" s="722" t="s">
        <v>755</v>
      </c>
      <c r="C34" s="722" t="s">
        <v>1055</v>
      </c>
      <c r="D34" s="722"/>
      <c r="E34" s="716"/>
      <c r="F34" s="716"/>
      <c r="G34" s="716"/>
      <c r="H34" s="716"/>
      <c r="I34" s="716"/>
      <c r="J34" s="716"/>
      <c r="K34" s="716"/>
      <c r="L34" s="716"/>
      <c r="M34" s="716"/>
      <c r="N34" s="716"/>
      <c r="O34" s="716"/>
      <c r="P34" s="716"/>
      <c r="Q34" s="716"/>
      <c r="R34" s="716">
        <v>1</v>
      </c>
      <c r="S34" s="716"/>
      <c r="T34" s="716"/>
      <c r="U34" s="716"/>
      <c r="V34" s="716"/>
      <c r="W34" s="716"/>
      <c r="X34" s="716"/>
      <c r="Y34" s="716"/>
      <c r="Z34" s="716">
        <v>1</v>
      </c>
      <c r="AA34" s="716"/>
      <c r="AB34" s="716"/>
      <c r="AC34" s="716"/>
      <c r="AD34" s="716"/>
      <c r="AE34" s="716"/>
      <c r="AF34" s="716"/>
      <c r="AG34" s="716"/>
      <c r="AH34" s="716"/>
      <c r="AI34" s="716"/>
      <c r="AJ34" s="716"/>
      <c r="AK34" s="716"/>
      <c r="AL34" s="716"/>
      <c r="AM34" s="716"/>
      <c r="AN34" s="716"/>
      <c r="AO34" s="716"/>
      <c r="AP34" s="716"/>
      <c r="AQ34" s="716"/>
      <c r="AR34" s="716"/>
      <c r="AS34" s="716"/>
      <c r="AT34" s="716"/>
      <c r="AU34" s="716"/>
      <c r="AV34" s="716"/>
      <c r="AW34" s="716"/>
      <c r="AX34" s="716">
        <v>3</v>
      </c>
      <c r="AY34" s="716"/>
      <c r="AZ34" s="716"/>
      <c r="BA34" s="716"/>
      <c r="BB34" s="716"/>
      <c r="BC34" s="716"/>
      <c r="BD34" s="716"/>
      <c r="BE34" s="716"/>
      <c r="BF34" s="716"/>
      <c r="BG34" s="716"/>
      <c r="BH34" s="716"/>
      <c r="BI34" s="716"/>
      <c r="BJ34" s="716">
        <v>1</v>
      </c>
      <c r="BK34" s="716"/>
      <c r="BL34" s="716"/>
      <c r="BM34" s="716"/>
      <c r="BN34" s="716"/>
      <c r="BO34" s="716"/>
      <c r="BP34" s="716"/>
      <c r="BQ34" s="716"/>
      <c r="BR34" s="716"/>
      <c r="BS34" s="716"/>
      <c r="BT34" s="716"/>
      <c r="BU34" s="716">
        <v>1</v>
      </c>
      <c r="BV34" s="716"/>
      <c r="BW34" s="716"/>
      <c r="BX34" s="716"/>
      <c r="BY34" s="716"/>
      <c r="BZ34" s="716"/>
      <c r="CA34" s="716"/>
      <c r="CB34" s="720"/>
      <c r="CC34" s="720"/>
      <c r="CD34" s="720"/>
      <c r="CE34" s="720"/>
      <c r="CF34" s="720"/>
      <c r="CG34" s="396"/>
      <c r="CH34" s="396"/>
      <c r="CI34" s="396"/>
      <c r="CJ34" s="396"/>
      <c r="CK34" s="396"/>
      <c r="CL34" s="396"/>
      <c r="CM34" s="396"/>
      <c r="CN34" s="396"/>
      <c r="CO34" s="396"/>
      <c r="CP34" s="396"/>
      <c r="CQ34" s="396"/>
      <c r="CR34" s="396"/>
      <c r="CS34" s="396"/>
      <c r="CT34" s="396"/>
      <c r="CU34" s="396"/>
      <c r="CV34" s="396"/>
      <c r="CW34" s="396"/>
      <c r="CX34" s="396"/>
      <c r="CY34" s="396"/>
      <c r="CZ34" s="396"/>
    </row>
    <row r="35" spans="1:104" s="723" customFormat="1" ht="24.6" customHeight="1">
      <c r="A35" s="718">
        <v>32</v>
      </c>
      <c r="B35" s="722" t="s">
        <v>756</v>
      </c>
      <c r="C35" s="722" t="s">
        <v>1056</v>
      </c>
      <c r="D35" s="722"/>
      <c r="E35" s="716"/>
      <c r="F35" s="716"/>
      <c r="G35" s="716"/>
      <c r="H35" s="716"/>
      <c r="I35" s="716"/>
      <c r="J35" s="716"/>
      <c r="K35" s="716"/>
      <c r="L35" s="716"/>
      <c r="M35" s="716"/>
      <c r="N35" s="716"/>
      <c r="O35" s="716"/>
      <c r="P35" s="716"/>
      <c r="Q35" s="716"/>
      <c r="R35" s="716"/>
      <c r="S35" s="716">
        <v>1</v>
      </c>
      <c r="T35" s="716"/>
      <c r="U35" s="716"/>
      <c r="V35" s="716"/>
      <c r="W35" s="716"/>
      <c r="X35" s="716"/>
      <c r="Y35" s="716"/>
      <c r="Z35" s="716">
        <v>1</v>
      </c>
      <c r="AA35" s="716"/>
      <c r="AB35" s="716"/>
      <c r="AC35" s="716"/>
      <c r="AD35" s="716"/>
      <c r="AE35" s="716"/>
      <c r="AF35" s="716"/>
      <c r="AG35" s="716"/>
      <c r="AH35" s="716"/>
      <c r="AI35" s="716"/>
      <c r="AJ35" s="716"/>
      <c r="AK35" s="716"/>
      <c r="AL35" s="716"/>
      <c r="AM35" s="716"/>
      <c r="AN35" s="716"/>
      <c r="AO35" s="716"/>
      <c r="AP35" s="716"/>
      <c r="AQ35" s="716"/>
      <c r="AR35" s="716"/>
      <c r="AS35" s="716"/>
      <c r="AT35" s="716"/>
      <c r="AU35" s="716"/>
      <c r="AV35" s="716"/>
      <c r="AW35" s="716"/>
      <c r="AX35" s="716">
        <v>6</v>
      </c>
      <c r="AY35" s="716"/>
      <c r="AZ35" s="716"/>
      <c r="BA35" s="716"/>
      <c r="BB35" s="716"/>
      <c r="BC35" s="716"/>
      <c r="BD35" s="716"/>
      <c r="BE35" s="716"/>
      <c r="BF35" s="716"/>
      <c r="BG35" s="716"/>
      <c r="BH35" s="716"/>
      <c r="BI35" s="716"/>
      <c r="BJ35" s="716"/>
      <c r="BK35" s="716">
        <v>1</v>
      </c>
      <c r="BL35" s="716"/>
      <c r="BM35" s="716"/>
      <c r="BN35" s="716"/>
      <c r="BO35" s="716"/>
      <c r="BP35" s="716"/>
      <c r="BQ35" s="716"/>
      <c r="BR35" s="716"/>
      <c r="BS35" s="716"/>
      <c r="BT35" s="716"/>
      <c r="BU35" s="716">
        <v>1</v>
      </c>
      <c r="BV35" s="716"/>
      <c r="BW35" s="716"/>
      <c r="BX35" s="716"/>
      <c r="BY35" s="716"/>
      <c r="BZ35" s="716"/>
      <c r="CA35" s="716"/>
      <c r="CB35" s="720"/>
      <c r="CC35" s="720"/>
      <c r="CD35" s="720"/>
      <c r="CE35" s="720"/>
      <c r="CF35" s="720"/>
      <c r="CG35" s="396"/>
      <c r="CH35" s="396"/>
      <c r="CI35" s="396"/>
      <c r="CJ35" s="396"/>
      <c r="CK35" s="396"/>
      <c r="CL35" s="396"/>
      <c r="CM35" s="396"/>
      <c r="CN35" s="396"/>
      <c r="CO35" s="396"/>
      <c r="CP35" s="396"/>
      <c r="CQ35" s="396"/>
      <c r="CR35" s="396"/>
      <c r="CS35" s="396"/>
      <c r="CT35" s="396"/>
      <c r="CU35" s="396"/>
      <c r="CV35" s="396"/>
      <c r="CW35" s="396"/>
      <c r="CX35" s="396"/>
      <c r="CY35" s="396"/>
      <c r="CZ35" s="396"/>
    </row>
    <row r="36" spans="1:104" s="723" customFormat="1" ht="24.6" customHeight="1">
      <c r="A36" s="718">
        <v>33</v>
      </c>
      <c r="B36" s="722" t="s">
        <v>757</v>
      </c>
      <c r="C36" s="722" t="s">
        <v>1055</v>
      </c>
      <c r="D36" s="722"/>
      <c r="E36" s="716"/>
      <c r="F36" s="716"/>
      <c r="G36" s="716"/>
      <c r="H36" s="716"/>
      <c r="I36" s="716"/>
      <c r="J36" s="716"/>
      <c r="K36" s="716"/>
      <c r="L36" s="716"/>
      <c r="M36" s="716"/>
      <c r="N36" s="716"/>
      <c r="O36" s="716"/>
      <c r="P36" s="716"/>
      <c r="Q36" s="716"/>
      <c r="R36" s="716">
        <v>1</v>
      </c>
      <c r="S36" s="716"/>
      <c r="T36" s="716"/>
      <c r="U36" s="716"/>
      <c r="V36" s="716"/>
      <c r="W36" s="716"/>
      <c r="X36" s="716"/>
      <c r="Y36" s="716"/>
      <c r="Z36" s="716">
        <v>1</v>
      </c>
      <c r="AA36" s="716"/>
      <c r="AB36" s="716"/>
      <c r="AC36" s="716"/>
      <c r="AD36" s="716"/>
      <c r="AE36" s="716"/>
      <c r="AF36" s="716"/>
      <c r="AG36" s="716"/>
      <c r="AH36" s="716"/>
      <c r="AI36" s="716"/>
      <c r="AJ36" s="716"/>
      <c r="AK36" s="716"/>
      <c r="AL36" s="716"/>
      <c r="AM36" s="716"/>
      <c r="AN36" s="716"/>
      <c r="AO36" s="716"/>
      <c r="AP36" s="716"/>
      <c r="AQ36" s="716"/>
      <c r="AR36" s="716"/>
      <c r="AS36" s="716"/>
      <c r="AT36" s="716"/>
      <c r="AU36" s="716"/>
      <c r="AV36" s="716"/>
      <c r="AW36" s="716"/>
      <c r="AX36" s="716">
        <v>3</v>
      </c>
      <c r="AY36" s="716"/>
      <c r="AZ36" s="716"/>
      <c r="BA36" s="716"/>
      <c r="BB36" s="716"/>
      <c r="BC36" s="716"/>
      <c r="BD36" s="716"/>
      <c r="BE36" s="716"/>
      <c r="BF36" s="716"/>
      <c r="BG36" s="716"/>
      <c r="BH36" s="716"/>
      <c r="BI36" s="716"/>
      <c r="BJ36" s="716">
        <v>1</v>
      </c>
      <c r="BK36" s="716"/>
      <c r="BL36" s="716"/>
      <c r="BM36" s="716"/>
      <c r="BN36" s="716"/>
      <c r="BO36" s="716"/>
      <c r="BP36" s="716"/>
      <c r="BQ36" s="716"/>
      <c r="BR36" s="716"/>
      <c r="BS36" s="716"/>
      <c r="BT36" s="716"/>
      <c r="BU36" s="716">
        <v>1</v>
      </c>
      <c r="BV36" s="716"/>
      <c r="BW36" s="716"/>
      <c r="BX36" s="716"/>
      <c r="BY36" s="716"/>
      <c r="BZ36" s="716"/>
      <c r="CA36" s="716"/>
      <c r="CB36" s="720"/>
      <c r="CC36" s="720"/>
      <c r="CD36" s="720"/>
      <c r="CE36" s="720"/>
      <c r="CF36" s="720"/>
      <c r="CG36" s="396"/>
      <c r="CH36" s="396"/>
      <c r="CI36" s="396"/>
      <c r="CJ36" s="396"/>
      <c r="CK36" s="396"/>
      <c r="CL36" s="396"/>
      <c r="CM36" s="396"/>
      <c r="CN36" s="396"/>
      <c r="CO36" s="396"/>
      <c r="CP36" s="396"/>
      <c r="CQ36" s="396"/>
      <c r="CR36" s="396"/>
      <c r="CS36" s="396"/>
      <c r="CT36" s="396"/>
      <c r="CU36" s="396"/>
      <c r="CV36" s="396"/>
      <c r="CW36" s="396"/>
      <c r="CX36" s="396"/>
      <c r="CY36" s="396"/>
      <c r="CZ36" s="396"/>
    </row>
    <row r="37" spans="1:104" s="723" customFormat="1" ht="24.6" customHeight="1">
      <c r="A37" s="718">
        <v>34</v>
      </c>
      <c r="B37" s="722" t="s">
        <v>758</v>
      </c>
      <c r="C37" s="722" t="s">
        <v>1055</v>
      </c>
      <c r="D37" s="722"/>
      <c r="E37" s="716"/>
      <c r="F37" s="716"/>
      <c r="G37" s="716"/>
      <c r="H37" s="716"/>
      <c r="I37" s="716"/>
      <c r="J37" s="716"/>
      <c r="K37" s="716"/>
      <c r="L37" s="716"/>
      <c r="M37" s="716"/>
      <c r="N37" s="716"/>
      <c r="O37" s="716"/>
      <c r="P37" s="716"/>
      <c r="Q37" s="716"/>
      <c r="R37" s="716">
        <v>1</v>
      </c>
      <c r="S37" s="716"/>
      <c r="T37" s="716"/>
      <c r="U37" s="716"/>
      <c r="V37" s="716"/>
      <c r="W37" s="716"/>
      <c r="X37" s="716"/>
      <c r="Y37" s="716"/>
      <c r="Z37" s="716">
        <v>1</v>
      </c>
      <c r="AA37" s="716"/>
      <c r="AB37" s="716"/>
      <c r="AC37" s="716"/>
      <c r="AD37" s="716"/>
      <c r="AE37" s="716"/>
      <c r="AF37" s="716"/>
      <c r="AG37" s="716"/>
      <c r="AH37" s="716"/>
      <c r="AI37" s="716"/>
      <c r="AJ37" s="716"/>
      <c r="AK37" s="716"/>
      <c r="AL37" s="716"/>
      <c r="AM37" s="716"/>
      <c r="AN37" s="716"/>
      <c r="AO37" s="716"/>
      <c r="AP37" s="716"/>
      <c r="AQ37" s="716"/>
      <c r="AR37" s="716"/>
      <c r="AS37" s="716"/>
      <c r="AT37" s="716"/>
      <c r="AU37" s="716"/>
      <c r="AV37" s="716"/>
      <c r="AW37" s="716"/>
      <c r="AX37" s="716">
        <v>3</v>
      </c>
      <c r="AY37" s="716"/>
      <c r="AZ37" s="716"/>
      <c r="BA37" s="716"/>
      <c r="BB37" s="716"/>
      <c r="BC37" s="716"/>
      <c r="BD37" s="716"/>
      <c r="BE37" s="716"/>
      <c r="BF37" s="716"/>
      <c r="BG37" s="716"/>
      <c r="BH37" s="716"/>
      <c r="BI37" s="716"/>
      <c r="BJ37" s="716">
        <v>1</v>
      </c>
      <c r="BK37" s="716"/>
      <c r="BL37" s="716"/>
      <c r="BM37" s="716"/>
      <c r="BN37" s="716"/>
      <c r="BO37" s="716"/>
      <c r="BP37" s="716"/>
      <c r="BQ37" s="716"/>
      <c r="BR37" s="716"/>
      <c r="BS37" s="716"/>
      <c r="BT37" s="716"/>
      <c r="BU37" s="716">
        <v>1</v>
      </c>
      <c r="BV37" s="716"/>
      <c r="BW37" s="716"/>
      <c r="BX37" s="716"/>
      <c r="BY37" s="716"/>
      <c r="BZ37" s="716"/>
      <c r="CA37" s="716"/>
      <c r="CB37" s="720"/>
      <c r="CC37" s="720"/>
      <c r="CD37" s="720"/>
      <c r="CE37" s="720"/>
      <c r="CF37" s="720"/>
      <c r="CG37" s="396"/>
      <c r="CH37" s="396"/>
      <c r="CI37" s="396"/>
      <c r="CJ37" s="396"/>
      <c r="CK37" s="396"/>
      <c r="CL37" s="396"/>
      <c r="CM37" s="396"/>
      <c r="CN37" s="396"/>
      <c r="CO37" s="396"/>
      <c r="CP37" s="396"/>
      <c r="CQ37" s="396"/>
      <c r="CR37" s="396"/>
      <c r="CS37" s="396"/>
      <c r="CT37" s="396"/>
      <c r="CU37" s="396"/>
      <c r="CV37" s="396"/>
      <c r="CW37" s="396"/>
      <c r="CX37" s="396"/>
      <c r="CY37" s="396"/>
      <c r="CZ37" s="396"/>
    </row>
    <row r="38" spans="1:104" s="723" customFormat="1" ht="24.6" customHeight="1">
      <c r="A38" s="718">
        <v>35</v>
      </c>
      <c r="B38" s="722" t="s">
        <v>759</v>
      </c>
      <c r="C38" s="722" t="s">
        <v>1055</v>
      </c>
      <c r="D38" s="722"/>
      <c r="E38" s="716"/>
      <c r="F38" s="716"/>
      <c r="G38" s="716"/>
      <c r="H38" s="716"/>
      <c r="I38" s="716"/>
      <c r="J38" s="716"/>
      <c r="K38" s="716"/>
      <c r="L38" s="716"/>
      <c r="M38" s="716"/>
      <c r="N38" s="716"/>
      <c r="O38" s="716"/>
      <c r="P38" s="716"/>
      <c r="Q38" s="716"/>
      <c r="R38" s="716">
        <v>1</v>
      </c>
      <c r="S38" s="716"/>
      <c r="T38" s="716"/>
      <c r="U38" s="716"/>
      <c r="V38" s="716"/>
      <c r="W38" s="716"/>
      <c r="X38" s="716"/>
      <c r="Y38" s="716"/>
      <c r="Z38" s="716">
        <v>1</v>
      </c>
      <c r="AA38" s="716"/>
      <c r="AB38" s="716"/>
      <c r="AC38" s="716"/>
      <c r="AD38" s="716"/>
      <c r="AE38" s="716"/>
      <c r="AF38" s="716"/>
      <c r="AG38" s="716"/>
      <c r="AH38" s="716"/>
      <c r="AI38" s="716"/>
      <c r="AJ38" s="716"/>
      <c r="AK38" s="716"/>
      <c r="AL38" s="716"/>
      <c r="AM38" s="716"/>
      <c r="AN38" s="716"/>
      <c r="AO38" s="716"/>
      <c r="AP38" s="716"/>
      <c r="AQ38" s="716"/>
      <c r="AR38" s="716"/>
      <c r="AS38" s="716"/>
      <c r="AT38" s="716"/>
      <c r="AU38" s="716"/>
      <c r="AV38" s="716"/>
      <c r="AW38" s="716"/>
      <c r="AX38" s="716">
        <v>3</v>
      </c>
      <c r="AY38" s="716"/>
      <c r="AZ38" s="716"/>
      <c r="BA38" s="716"/>
      <c r="BB38" s="716"/>
      <c r="BC38" s="716"/>
      <c r="BD38" s="716"/>
      <c r="BE38" s="716"/>
      <c r="BF38" s="716"/>
      <c r="BG38" s="716"/>
      <c r="BH38" s="716"/>
      <c r="BI38" s="716"/>
      <c r="BJ38" s="716">
        <v>1</v>
      </c>
      <c r="BK38" s="716"/>
      <c r="BL38" s="716"/>
      <c r="BM38" s="716"/>
      <c r="BN38" s="716"/>
      <c r="BO38" s="716"/>
      <c r="BP38" s="716"/>
      <c r="BQ38" s="716"/>
      <c r="BR38" s="716"/>
      <c r="BS38" s="716"/>
      <c r="BT38" s="716"/>
      <c r="BU38" s="716">
        <v>1</v>
      </c>
      <c r="BV38" s="716"/>
      <c r="BW38" s="716"/>
      <c r="BX38" s="716"/>
      <c r="BY38" s="716"/>
      <c r="BZ38" s="716"/>
      <c r="CA38" s="716"/>
      <c r="CB38" s="720"/>
      <c r="CC38" s="720"/>
      <c r="CD38" s="720"/>
      <c r="CE38" s="720"/>
      <c r="CF38" s="720"/>
      <c r="CG38" s="396"/>
      <c r="CH38" s="396"/>
      <c r="CI38" s="396"/>
      <c r="CJ38" s="396"/>
      <c r="CK38" s="396"/>
      <c r="CL38" s="396"/>
      <c r="CM38" s="396"/>
      <c r="CN38" s="396"/>
      <c r="CO38" s="396"/>
      <c r="CP38" s="396"/>
      <c r="CQ38" s="396"/>
      <c r="CR38" s="396"/>
      <c r="CS38" s="396"/>
      <c r="CT38" s="396"/>
      <c r="CU38" s="396"/>
      <c r="CV38" s="396"/>
      <c r="CW38" s="396"/>
      <c r="CX38" s="396"/>
      <c r="CY38" s="396"/>
      <c r="CZ38" s="396"/>
    </row>
    <row r="39" spans="1:104" s="723" customFormat="1" ht="24.6" customHeight="1">
      <c r="A39" s="718">
        <v>36</v>
      </c>
      <c r="B39" s="722" t="s">
        <v>760</v>
      </c>
      <c r="C39" s="722" t="s">
        <v>1055</v>
      </c>
      <c r="D39" s="722"/>
      <c r="E39" s="716"/>
      <c r="F39" s="716"/>
      <c r="G39" s="716"/>
      <c r="H39" s="716"/>
      <c r="I39" s="716"/>
      <c r="J39" s="716"/>
      <c r="K39" s="716"/>
      <c r="L39" s="716"/>
      <c r="M39" s="716"/>
      <c r="N39" s="716"/>
      <c r="O39" s="716"/>
      <c r="P39" s="716"/>
      <c r="Q39" s="716"/>
      <c r="R39" s="716">
        <v>1</v>
      </c>
      <c r="S39" s="716"/>
      <c r="T39" s="716"/>
      <c r="U39" s="716"/>
      <c r="V39" s="716"/>
      <c r="W39" s="716"/>
      <c r="X39" s="716"/>
      <c r="Y39" s="716"/>
      <c r="Z39" s="716">
        <v>1</v>
      </c>
      <c r="AA39" s="716"/>
      <c r="AB39" s="716"/>
      <c r="AC39" s="716"/>
      <c r="AD39" s="716"/>
      <c r="AE39" s="716"/>
      <c r="AF39" s="716"/>
      <c r="AG39" s="716"/>
      <c r="AH39" s="716"/>
      <c r="AI39" s="716"/>
      <c r="AJ39" s="716"/>
      <c r="AK39" s="716"/>
      <c r="AL39" s="716"/>
      <c r="AM39" s="716"/>
      <c r="AN39" s="716"/>
      <c r="AO39" s="716"/>
      <c r="AP39" s="716"/>
      <c r="AQ39" s="716"/>
      <c r="AR39" s="716"/>
      <c r="AS39" s="716"/>
      <c r="AT39" s="716"/>
      <c r="AU39" s="716"/>
      <c r="AV39" s="716"/>
      <c r="AW39" s="716"/>
      <c r="AX39" s="716">
        <v>3</v>
      </c>
      <c r="AY39" s="716"/>
      <c r="AZ39" s="716"/>
      <c r="BA39" s="716"/>
      <c r="BB39" s="716"/>
      <c r="BC39" s="716"/>
      <c r="BD39" s="716"/>
      <c r="BE39" s="716"/>
      <c r="BF39" s="716"/>
      <c r="BG39" s="716"/>
      <c r="BH39" s="716"/>
      <c r="BI39" s="716"/>
      <c r="BJ39" s="716">
        <v>1</v>
      </c>
      <c r="BK39" s="716"/>
      <c r="BL39" s="716"/>
      <c r="BM39" s="716"/>
      <c r="BN39" s="716"/>
      <c r="BO39" s="716"/>
      <c r="BP39" s="716"/>
      <c r="BQ39" s="716"/>
      <c r="BR39" s="716"/>
      <c r="BS39" s="716"/>
      <c r="BT39" s="716"/>
      <c r="BU39" s="716">
        <v>1</v>
      </c>
      <c r="BV39" s="716"/>
      <c r="BW39" s="716"/>
      <c r="BX39" s="716"/>
      <c r="BY39" s="716"/>
      <c r="BZ39" s="716"/>
      <c r="CA39" s="716"/>
      <c r="CB39" s="720"/>
      <c r="CC39" s="720"/>
      <c r="CD39" s="720"/>
      <c r="CE39" s="720"/>
      <c r="CF39" s="720"/>
      <c r="CG39" s="396"/>
      <c r="CH39" s="396"/>
      <c r="CI39" s="396"/>
      <c r="CJ39" s="396"/>
      <c r="CK39" s="396"/>
      <c r="CL39" s="396"/>
      <c r="CM39" s="396"/>
      <c r="CN39" s="396"/>
      <c r="CO39" s="396"/>
      <c r="CP39" s="396"/>
      <c r="CQ39" s="396"/>
      <c r="CR39" s="396"/>
      <c r="CS39" s="396"/>
      <c r="CT39" s="396"/>
      <c r="CU39" s="396"/>
      <c r="CV39" s="396"/>
      <c r="CW39" s="396"/>
      <c r="CX39" s="396"/>
      <c r="CY39" s="396"/>
      <c r="CZ39" s="396"/>
    </row>
    <row r="40" spans="1:104" s="723" customFormat="1" ht="24.6" customHeight="1">
      <c r="A40" s="718">
        <v>37</v>
      </c>
      <c r="B40" s="722" t="s">
        <v>761</v>
      </c>
      <c r="C40" s="722" t="s">
        <v>1055</v>
      </c>
      <c r="D40" s="722"/>
      <c r="E40" s="716"/>
      <c r="F40" s="716"/>
      <c r="G40" s="716"/>
      <c r="H40" s="716"/>
      <c r="I40" s="716"/>
      <c r="J40" s="716"/>
      <c r="K40" s="716"/>
      <c r="L40" s="716"/>
      <c r="M40" s="716"/>
      <c r="N40" s="716"/>
      <c r="O40" s="716"/>
      <c r="P40" s="716"/>
      <c r="Q40" s="716"/>
      <c r="R40" s="716">
        <v>1</v>
      </c>
      <c r="S40" s="716"/>
      <c r="T40" s="716"/>
      <c r="U40" s="716"/>
      <c r="V40" s="716"/>
      <c r="W40" s="716"/>
      <c r="X40" s="716"/>
      <c r="Y40" s="716"/>
      <c r="Z40" s="716">
        <v>1</v>
      </c>
      <c r="AA40" s="716"/>
      <c r="AB40" s="716"/>
      <c r="AC40" s="716"/>
      <c r="AD40" s="716"/>
      <c r="AE40" s="716"/>
      <c r="AF40" s="716"/>
      <c r="AG40" s="716"/>
      <c r="AH40" s="716"/>
      <c r="AI40" s="716"/>
      <c r="AJ40" s="716"/>
      <c r="AK40" s="716"/>
      <c r="AL40" s="716"/>
      <c r="AM40" s="716"/>
      <c r="AN40" s="716"/>
      <c r="AO40" s="716"/>
      <c r="AP40" s="716"/>
      <c r="AQ40" s="716"/>
      <c r="AR40" s="716"/>
      <c r="AS40" s="716"/>
      <c r="AT40" s="716"/>
      <c r="AU40" s="716"/>
      <c r="AV40" s="716"/>
      <c r="AW40" s="716"/>
      <c r="AX40" s="716">
        <v>3</v>
      </c>
      <c r="AY40" s="716"/>
      <c r="AZ40" s="716"/>
      <c r="BA40" s="716"/>
      <c r="BB40" s="716"/>
      <c r="BC40" s="716"/>
      <c r="BD40" s="716"/>
      <c r="BE40" s="716"/>
      <c r="BF40" s="716"/>
      <c r="BG40" s="716"/>
      <c r="BH40" s="716"/>
      <c r="BI40" s="716"/>
      <c r="BJ40" s="716">
        <v>1</v>
      </c>
      <c r="BK40" s="716"/>
      <c r="BL40" s="716"/>
      <c r="BM40" s="716"/>
      <c r="BN40" s="716"/>
      <c r="BO40" s="716"/>
      <c r="BP40" s="716"/>
      <c r="BQ40" s="716"/>
      <c r="BR40" s="716"/>
      <c r="BS40" s="716"/>
      <c r="BT40" s="716"/>
      <c r="BU40" s="716">
        <v>1</v>
      </c>
      <c r="BV40" s="716"/>
      <c r="BW40" s="716"/>
      <c r="BX40" s="716"/>
      <c r="BY40" s="716"/>
      <c r="BZ40" s="716"/>
      <c r="CA40" s="716"/>
      <c r="CB40" s="720"/>
      <c r="CC40" s="720"/>
      <c r="CD40" s="720"/>
      <c r="CE40" s="720"/>
      <c r="CF40" s="720"/>
      <c r="CG40" s="396"/>
      <c r="CH40" s="396"/>
      <c r="CI40" s="396"/>
      <c r="CJ40" s="396"/>
      <c r="CK40" s="396"/>
      <c r="CL40" s="396"/>
      <c r="CM40" s="396"/>
      <c r="CN40" s="396"/>
      <c r="CO40" s="396"/>
      <c r="CP40" s="396"/>
      <c r="CQ40" s="396"/>
      <c r="CR40" s="396"/>
      <c r="CS40" s="396"/>
      <c r="CT40" s="396"/>
      <c r="CU40" s="396"/>
      <c r="CV40" s="396"/>
      <c r="CW40" s="396"/>
      <c r="CX40" s="396"/>
      <c r="CY40" s="396"/>
      <c r="CZ40" s="396"/>
    </row>
    <row r="41" spans="1:104" s="723" customFormat="1" ht="24.6" customHeight="1">
      <c r="A41" s="718">
        <v>38</v>
      </c>
      <c r="B41" s="722" t="s">
        <v>762</v>
      </c>
      <c r="C41" s="722" t="s">
        <v>1055</v>
      </c>
      <c r="D41" s="722"/>
      <c r="E41" s="716"/>
      <c r="F41" s="716"/>
      <c r="G41" s="716"/>
      <c r="H41" s="716"/>
      <c r="I41" s="716"/>
      <c r="J41" s="716"/>
      <c r="K41" s="716"/>
      <c r="L41" s="716"/>
      <c r="M41" s="716"/>
      <c r="N41" s="716"/>
      <c r="O41" s="716"/>
      <c r="P41" s="716"/>
      <c r="Q41" s="716"/>
      <c r="R41" s="716">
        <v>1</v>
      </c>
      <c r="S41" s="716"/>
      <c r="T41" s="716"/>
      <c r="U41" s="716"/>
      <c r="V41" s="716"/>
      <c r="W41" s="716"/>
      <c r="X41" s="716"/>
      <c r="Y41" s="716"/>
      <c r="Z41" s="716">
        <v>1</v>
      </c>
      <c r="AA41" s="716"/>
      <c r="AB41" s="716"/>
      <c r="AC41" s="716"/>
      <c r="AD41" s="716"/>
      <c r="AE41" s="716"/>
      <c r="AF41" s="716"/>
      <c r="AG41" s="716"/>
      <c r="AH41" s="716"/>
      <c r="AI41" s="716"/>
      <c r="AJ41" s="716"/>
      <c r="AK41" s="716"/>
      <c r="AL41" s="716"/>
      <c r="AM41" s="716"/>
      <c r="AN41" s="716"/>
      <c r="AO41" s="716"/>
      <c r="AP41" s="716"/>
      <c r="AQ41" s="716"/>
      <c r="AR41" s="716"/>
      <c r="AS41" s="716"/>
      <c r="AT41" s="716"/>
      <c r="AU41" s="716"/>
      <c r="AV41" s="716"/>
      <c r="AW41" s="716"/>
      <c r="AX41" s="716">
        <v>3</v>
      </c>
      <c r="AY41" s="716"/>
      <c r="AZ41" s="716"/>
      <c r="BA41" s="716"/>
      <c r="BB41" s="716"/>
      <c r="BC41" s="716"/>
      <c r="BD41" s="716"/>
      <c r="BE41" s="716"/>
      <c r="BF41" s="716"/>
      <c r="BG41" s="716"/>
      <c r="BH41" s="716"/>
      <c r="BI41" s="716"/>
      <c r="BJ41" s="716">
        <v>1</v>
      </c>
      <c r="BK41" s="716"/>
      <c r="BL41" s="716"/>
      <c r="BM41" s="716"/>
      <c r="BN41" s="716"/>
      <c r="BO41" s="716"/>
      <c r="BP41" s="716"/>
      <c r="BQ41" s="716"/>
      <c r="BR41" s="716"/>
      <c r="BS41" s="716"/>
      <c r="BT41" s="716"/>
      <c r="BU41" s="716">
        <v>1</v>
      </c>
      <c r="BV41" s="716"/>
      <c r="BW41" s="716"/>
      <c r="BX41" s="716"/>
      <c r="BY41" s="716"/>
      <c r="BZ41" s="716"/>
      <c r="CA41" s="716"/>
      <c r="CB41" s="720"/>
      <c r="CC41" s="720"/>
      <c r="CD41" s="720"/>
      <c r="CE41" s="720"/>
      <c r="CF41" s="720"/>
      <c r="CG41" s="396"/>
      <c r="CH41" s="396"/>
      <c r="CI41" s="396"/>
      <c r="CJ41" s="396"/>
      <c r="CK41" s="396"/>
      <c r="CL41" s="396"/>
      <c r="CM41" s="396"/>
      <c r="CN41" s="396"/>
      <c r="CO41" s="396"/>
      <c r="CP41" s="396"/>
      <c r="CQ41" s="396"/>
      <c r="CR41" s="396"/>
      <c r="CS41" s="396"/>
      <c r="CT41" s="396"/>
      <c r="CU41" s="396"/>
      <c r="CV41" s="396"/>
      <c r="CW41" s="396"/>
      <c r="CX41" s="396"/>
      <c r="CY41" s="396"/>
      <c r="CZ41" s="396"/>
    </row>
    <row r="42" spans="1:104" s="723" customFormat="1" ht="24.6" customHeight="1">
      <c r="A42" s="718">
        <v>39</v>
      </c>
      <c r="B42" s="722" t="s">
        <v>763</v>
      </c>
      <c r="C42" s="722" t="s">
        <v>1055</v>
      </c>
      <c r="D42" s="722"/>
      <c r="E42" s="716"/>
      <c r="F42" s="716"/>
      <c r="G42" s="716"/>
      <c r="H42" s="716"/>
      <c r="I42" s="716"/>
      <c r="J42" s="716"/>
      <c r="K42" s="716"/>
      <c r="L42" s="716"/>
      <c r="M42" s="716"/>
      <c r="N42" s="716"/>
      <c r="O42" s="716"/>
      <c r="P42" s="716"/>
      <c r="Q42" s="716"/>
      <c r="R42" s="716">
        <v>1</v>
      </c>
      <c r="S42" s="716"/>
      <c r="T42" s="716"/>
      <c r="U42" s="716"/>
      <c r="V42" s="716"/>
      <c r="W42" s="716"/>
      <c r="X42" s="716"/>
      <c r="Y42" s="716"/>
      <c r="Z42" s="716">
        <v>1</v>
      </c>
      <c r="AA42" s="716"/>
      <c r="AB42" s="716"/>
      <c r="AC42" s="716"/>
      <c r="AD42" s="716"/>
      <c r="AE42" s="716"/>
      <c r="AF42" s="716"/>
      <c r="AG42" s="716"/>
      <c r="AH42" s="716"/>
      <c r="AI42" s="716"/>
      <c r="AJ42" s="716"/>
      <c r="AK42" s="716"/>
      <c r="AL42" s="716"/>
      <c r="AM42" s="716"/>
      <c r="AN42" s="716"/>
      <c r="AO42" s="716"/>
      <c r="AP42" s="716"/>
      <c r="AQ42" s="716"/>
      <c r="AR42" s="716"/>
      <c r="AS42" s="716"/>
      <c r="AT42" s="716"/>
      <c r="AU42" s="716"/>
      <c r="AV42" s="716"/>
      <c r="AW42" s="716"/>
      <c r="AX42" s="716">
        <v>3</v>
      </c>
      <c r="AY42" s="716"/>
      <c r="AZ42" s="716"/>
      <c r="BA42" s="716"/>
      <c r="BB42" s="716"/>
      <c r="BC42" s="716"/>
      <c r="BD42" s="716"/>
      <c r="BE42" s="716"/>
      <c r="BF42" s="716"/>
      <c r="BG42" s="716"/>
      <c r="BH42" s="716"/>
      <c r="BI42" s="716"/>
      <c r="BJ42" s="716">
        <v>1</v>
      </c>
      <c r="BK42" s="716"/>
      <c r="BL42" s="716"/>
      <c r="BM42" s="716"/>
      <c r="BN42" s="716"/>
      <c r="BO42" s="716"/>
      <c r="BP42" s="716"/>
      <c r="BQ42" s="716"/>
      <c r="BR42" s="716"/>
      <c r="BS42" s="716"/>
      <c r="BT42" s="716"/>
      <c r="BU42" s="716">
        <v>1</v>
      </c>
      <c r="BV42" s="716"/>
      <c r="BW42" s="716"/>
      <c r="BX42" s="716"/>
      <c r="BY42" s="716"/>
      <c r="BZ42" s="716"/>
      <c r="CA42" s="716"/>
      <c r="CB42" s="720"/>
      <c r="CC42" s="720"/>
      <c r="CD42" s="720"/>
      <c r="CE42" s="720"/>
      <c r="CF42" s="720"/>
      <c r="CG42" s="396"/>
      <c r="CH42" s="396"/>
      <c r="CI42" s="396"/>
      <c r="CJ42" s="396"/>
      <c r="CK42" s="396"/>
      <c r="CL42" s="396"/>
      <c r="CM42" s="396"/>
      <c r="CN42" s="396"/>
      <c r="CO42" s="396"/>
      <c r="CP42" s="396"/>
      <c r="CQ42" s="396"/>
      <c r="CR42" s="396"/>
      <c r="CS42" s="396"/>
      <c r="CT42" s="396"/>
      <c r="CU42" s="396"/>
      <c r="CV42" s="396"/>
      <c r="CW42" s="396"/>
      <c r="CX42" s="396"/>
      <c r="CY42" s="396"/>
      <c r="CZ42" s="396"/>
    </row>
    <row r="43" spans="1:104" s="723" customFormat="1" ht="24.6" customHeight="1">
      <c r="A43" s="718">
        <v>40</v>
      </c>
      <c r="B43" s="722" t="s">
        <v>764</v>
      </c>
      <c r="C43" s="722" t="s">
        <v>1055</v>
      </c>
      <c r="D43" s="722"/>
      <c r="E43" s="716"/>
      <c r="F43" s="716"/>
      <c r="G43" s="716"/>
      <c r="H43" s="716"/>
      <c r="I43" s="716"/>
      <c r="J43" s="716"/>
      <c r="K43" s="716"/>
      <c r="L43" s="716"/>
      <c r="M43" s="716"/>
      <c r="N43" s="716"/>
      <c r="O43" s="716"/>
      <c r="P43" s="716"/>
      <c r="Q43" s="716"/>
      <c r="R43" s="716">
        <v>1</v>
      </c>
      <c r="S43" s="716"/>
      <c r="T43" s="716"/>
      <c r="U43" s="716"/>
      <c r="V43" s="716"/>
      <c r="W43" s="716"/>
      <c r="X43" s="716"/>
      <c r="Y43" s="716"/>
      <c r="Z43" s="716">
        <v>1</v>
      </c>
      <c r="AA43" s="716"/>
      <c r="AB43" s="716"/>
      <c r="AC43" s="716"/>
      <c r="AD43" s="716"/>
      <c r="AE43" s="716"/>
      <c r="AF43" s="716"/>
      <c r="AG43" s="716"/>
      <c r="AH43" s="716"/>
      <c r="AI43" s="716"/>
      <c r="AJ43" s="716"/>
      <c r="AK43" s="716"/>
      <c r="AL43" s="716"/>
      <c r="AM43" s="716"/>
      <c r="AN43" s="716"/>
      <c r="AO43" s="716"/>
      <c r="AP43" s="716"/>
      <c r="AQ43" s="716"/>
      <c r="AR43" s="716"/>
      <c r="AS43" s="716"/>
      <c r="AT43" s="716"/>
      <c r="AU43" s="716"/>
      <c r="AV43" s="716"/>
      <c r="AW43" s="716"/>
      <c r="AX43" s="716">
        <v>3</v>
      </c>
      <c r="AY43" s="716"/>
      <c r="AZ43" s="716"/>
      <c r="BA43" s="716"/>
      <c r="BB43" s="716"/>
      <c r="BC43" s="716"/>
      <c r="BD43" s="716"/>
      <c r="BE43" s="716"/>
      <c r="BF43" s="716"/>
      <c r="BG43" s="716"/>
      <c r="BH43" s="716"/>
      <c r="BI43" s="716"/>
      <c r="BJ43" s="716">
        <v>1</v>
      </c>
      <c r="BK43" s="716"/>
      <c r="BL43" s="716"/>
      <c r="BM43" s="716"/>
      <c r="BN43" s="716"/>
      <c r="BO43" s="716"/>
      <c r="BP43" s="716"/>
      <c r="BQ43" s="716"/>
      <c r="BR43" s="716"/>
      <c r="BS43" s="716"/>
      <c r="BT43" s="716"/>
      <c r="BU43" s="716">
        <v>1</v>
      </c>
      <c r="BV43" s="716"/>
      <c r="BW43" s="716"/>
      <c r="BX43" s="716"/>
      <c r="BY43" s="716"/>
      <c r="BZ43" s="716"/>
      <c r="CA43" s="716"/>
      <c r="CB43" s="720"/>
      <c r="CC43" s="720"/>
      <c r="CD43" s="720"/>
      <c r="CE43" s="720"/>
      <c r="CF43" s="720"/>
      <c r="CG43" s="396"/>
      <c r="CH43" s="396"/>
      <c r="CI43" s="396"/>
      <c r="CJ43" s="396"/>
      <c r="CK43" s="396"/>
      <c r="CL43" s="396"/>
      <c r="CM43" s="396"/>
      <c r="CN43" s="396"/>
      <c r="CO43" s="396"/>
      <c r="CP43" s="396"/>
      <c r="CQ43" s="396"/>
      <c r="CR43" s="396"/>
      <c r="CS43" s="396"/>
      <c r="CT43" s="396"/>
      <c r="CU43" s="396"/>
      <c r="CV43" s="396"/>
      <c r="CW43" s="396"/>
      <c r="CX43" s="396"/>
      <c r="CY43" s="396"/>
      <c r="CZ43" s="396"/>
    </row>
    <row r="44" spans="1:104" s="723" customFormat="1" ht="24.6" customHeight="1">
      <c r="A44" s="718">
        <v>41</v>
      </c>
      <c r="B44" s="722" t="s">
        <v>765</v>
      </c>
      <c r="C44" s="722" t="s">
        <v>1055</v>
      </c>
      <c r="D44" s="722"/>
      <c r="E44" s="716"/>
      <c r="F44" s="716"/>
      <c r="G44" s="716"/>
      <c r="H44" s="716"/>
      <c r="I44" s="716"/>
      <c r="J44" s="716"/>
      <c r="K44" s="716"/>
      <c r="L44" s="716"/>
      <c r="M44" s="716"/>
      <c r="N44" s="716"/>
      <c r="O44" s="716"/>
      <c r="P44" s="716"/>
      <c r="Q44" s="716"/>
      <c r="R44" s="716">
        <v>1</v>
      </c>
      <c r="S44" s="716"/>
      <c r="T44" s="716"/>
      <c r="U44" s="716"/>
      <c r="V44" s="716"/>
      <c r="W44" s="716"/>
      <c r="X44" s="716"/>
      <c r="Y44" s="716"/>
      <c r="Z44" s="716">
        <v>1</v>
      </c>
      <c r="AA44" s="716"/>
      <c r="AB44" s="716"/>
      <c r="AC44" s="716"/>
      <c r="AD44" s="716"/>
      <c r="AE44" s="716"/>
      <c r="AF44" s="716"/>
      <c r="AG44" s="716"/>
      <c r="AH44" s="716"/>
      <c r="AI44" s="716"/>
      <c r="AJ44" s="716"/>
      <c r="AK44" s="716"/>
      <c r="AL44" s="716"/>
      <c r="AM44" s="716"/>
      <c r="AN44" s="716"/>
      <c r="AO44" s="716"/>
      <c r="AP44" s="716"/>
      <c r="AQ44" s="716"/>
      <c r="AR44" s="716"/>
      <c r="AS44" s="716"/>
      <c r="AT44" s="716"/>
      <c r="AU44" s="716"/>
      <c r="AV44" s="716"/>
      <c r="AW44" s="716"/>
      <c r="AX44" s="716">
        <v>3</v>
      </c>
      <c r="AY44" s="716"/>
      <c r="AZ44" s="716"/>
      <c r="BA44" s="716"/>
      <c r="BB44" s="716"/>
      <c r="BC44" s="716"/>
      <c r="BD44" s="716"/>
      <c r="BE44" s="716"/>
      <c r="BF44" s="716"/>
      <c r="BG44" s="716"/>
      <c r="BH44" s="716"/>
      <c r="BI44" s="716"/>
      <c r="BJ44" s="716">
        <v>1</v>
      </c>
      <c r="BK44" s="716"/>
      <c r="BL44" s="716"/>
      <c r="BM44" s="716"/>
      <c r="BN44" s="716"/>
      <c r="BO44" s="716"/>
      <c r="BP44" s="716"/>
      <c r="BQ44" s="716"/>
      <c r="BR44" s="716"/>
      <c r="BS44" s="716"/>
      <c r="BT44" s="716"/>
      <c r="BU44" s="716">
        <v>1</v>
      </c>
      <c r="BV44" s="716"/>
      <c r="BW44" s="716"/>
      <c r="BX44" s="716"/>
      <c r="BY44" s="716"/>
      <c r="BZ44" s="716"/>
      <c r="CA44" s="716"/>
      <c r="CB44" s="720"/>
      <c r="CC44" s="720"/>
      <c r="CD44" s="720"/>
      <c r="CE44" s="720"/>
      <c r="CF44" s="720"/>
      <c r="CG44" s="396"/>
      <c r="CH44" s="396"/>
      <c r="CI44" s="396"/>
      <c r="CJ44" s="396"/>
      <c r="CK44" s="396"/>
      <c r="CL44" s="396"/>
      <c r="CM44" s="396"/>
      <c r="CN44" s="396"/>
      <c r="CO44" s="396"/>
      <c r="CP44" s="396"/>
      <c r="CQ44" s="396"/>
      <c r="CR44" s="396"/>
      <c r="CS44" s="396"/>
      <c r="CT44" s="396"/>
      <c r="CU44" s="396"/>
      <c r="CV44" s="396"/>
      <c r="CW44" s="396"/>
      <c r="CX44" s="396"/>
      <c r="CY44" s="396"/>
      <c r="CZ44" s="396"/>
    </row>
    <row r="45" spans="1:104" s="723" customFormat="1" ht="24.6" customHeight="1">
      <c r="A45" s="718">
        <v>42</v>
      </c>
      <c r="B45" s="722" t="s">
        <v>766</v>
      </c>
      <c r="C45" s="722" t="s">
        <v>1058</v>
      </c>
      <c r="D45" s="722"/>
      <c r="E45" s="716"/>
      <c r="F45" s="716"/>
      <c r="G45" s="716"/>
      <c r="H45" s="716"/>
      <c r="I45" s="716"/>
      <c r="J45" s="716"/>
      <c r="K45" s="716"/>
      <c r="L45" s="716"/>
      <c r="M45" s="716"/>
      <c r="N45" s="716"/>
      <c r="O45" s="716"/>
      <c r="P45" s="716">
        <v>2</v>
      </c>
      <c r="Q45" s="716">
        <v>1</v>
      </c>
      <c r="R45" s="716"/>
      <c r="S45" s="716"/>
      <c r="T45" s="716"/>
      <c r="U45" s="716"/>
      <c r="V45" s="716"/>
      <c r="W45" s="716"/>
      <c r="X45" s="716"/>
      <c r="Y45" s="716"/>
      <c r="Z45" s="716"/>
      <c r="AA45" s="716"/>
      <c r="AB45" s="716"/>
      <c r="AC45" s="716"/>
      <c r="AD45" s="716"/>
      <c r="AE45" s="716"/>
      <c r="AF45" s="716"/>
      <c r="AG45" s="716"/>
      <c r="AH45" s="716"/>
      <c r="AI45" s="716"/>
      <c r="AJ45" s="716"/>
      <c r="AK45" s="716"/>
      <c r="AL45" s="716"/>
      <c r="AM45" s="716"/>
      <c r="AN45" s="716"/>
      <c r="AO45" s="716"/>
      <c r="AP45" s="716"/>
      <c r="AQ45" s="716"/>
      <c r="AR45" s="716"/>
      <c r="AS45" s="716"/>
      <c r="AT45" s="716"/>
      <c r="AU45" s="716"/>
      <c r="AV45" s="716"/>
      <c r="AW45" s="716">
        <v>6</v>
      </c>
      <c r="AX45" s="716">
        <v>5</v>
      </c>
      <c r="AY45" s="716"/>
      <c r="AZ45" s="716"/>
      <c r="BA45" s="716"/>
      <c r="BB45" s="716"/>
      <c r="BC45" s="716"/>
      <c r="BD45" s="716"/>
      <c r="BE45" s="716"/>
      <c r="BF45" s="716"/>
      <c r="BG45" s="716"/>
      <c r="BH45" s="716">
        <v>2</v>
      </c>
      <c r="BI45" s="716">
        <v>1</v>
      </c>
      <c r="BJ45" s="716"/>
      <c r="BK45" s="716"/>
      <c r="BL45" s="716"/>
      <c r="BM45" s="716"/>
      <c r="BN45" s="716"/>
      <c r="BO45" s="716"/>
      <c r="BP45" s="716"/>
      <c r="BQ45" s="716"/>
      <c r="BR45" s="716"/>
      <c r="BS45" s="716"/>
      <c r="BT45" s="716"/>
      <c r="BU45" s="716"/>
      <c r="BV45" s="716"/>
      <c r="BW45" s="716"/>
      <c r="BX45" s="716"/>
      <c r="BY45" s="716"/>
      <c r="BZ45" s="716"/>
      <c r="CA45" s="716"/>
      <c r="CB45" s="720"/>
      <c r="CC45" s="720"/>
      <c r="CD45" s="720"/>
      <c r="CE45" s="720"/>
      <c r="CF45" s="720"/>
      <c r="CG45" s="396"/>
      <c r="CH45" s="396"/>
      <c r="CI45" s="396"/>
      <c r="CJ45" s="396"/>
      <c r="CK45" s="396"/>
      <c r="CL45" s="396"/>
      <c r="CM45" s="396"/>
      <c r="CN45" s="396"/>
      <c r="CO45" s="396"/>
      <c r="CP45" s="396"/>
      <c r="CQ45" s="396"/>
      <c r="CR45" s="396"/>
      <c r="CS45" s="396"/>
      <c r="CT45" s="396"/>
      <c r="CU45" s="396"/>
      <c r="CV45" s="396"/>
      <c r="CW45" s="396"/>
      <c r="CX45" s="396"/>
      <c r="CY45" s="396"/>
      <c r="CZ45" s="396"/>
    </row>
    <row r="46" spans="1:104" s="723" customFormat="1" ht="24.6" customHeight="1">
      <c r="A46" s="718">
        <v>43</v>
      </c>
      <c r="B46" s="722" t="s">
        <v>799</v>
      </c>
      <c r="C46" s="722" t="s">
        <v>1055</v>
      </c>
      <c r="D46" s="722"/>
      <c r="E46" s="716"/>
      <c r="F46" s="716"/>
      <c r="G46" s="716"/>
      <c r="H46" s="716"/>
      <c r="I46" s="716"/>
      <c r="J46" s="716"/>
      <c r="K46" s="716"/>
      <c r="L46" s="716"/>
      <c r="M46" s="716"/>
      <c r="N46" s="716"/>
      <c r="O46" s="716"/>
      <c r="P46" s="716"/>
      <c r="Q46" s="716"/>
      <c r="R46" s="716">
        <v>1</v>
      </c>
      <c r="S46" s="716"/>
      <c r="T46" s="716"/>
      <c r="U46" s="716"/>
      <c r="V46" s="716"/>
      <c r="W46" s="716"/>
      <c r="X46" s="716"/>
      <c r="Y46" s="716"/>
      <c r="Z46" s="716">
        <v>1</v>
      </c>
      <c r="AA46" s="716"/>
      <c r="AB46" s="716"/>
      <c r="AC46" s="716"/>
      <c r="AD46" s="716"/>
      <c r="AE46" s="716"/>
      <c r="AF46" s="716"/>
      <c r="AG46" s="716"/>
      <c r="AH46" s="716"/>
      <c r="AI46" s="716"/>
      <c r="AJ46" s="716"/>
      <c r="AK46" s="716"/>
      <c r="AL46" s="716"/>
      <c r="AM46" s="716"/>
      <c r="AN46" s="716"/>
      <c r="AO46" s="716"/>
      <c r="AP46" s="716"/>
      <c r="AQ46" s="716"/>
      <c r="AR46" s="716"/>
      <c r="AS46" s="716"/>
      <c r="AT46" s="716"/>
      <c r="AU46" s="716"/>
      <c r="AV46" s="716"/>
      <c r="AW46" s="716"/>
      <c r="AX46" s="716">
        <v>3</v>
      </c>
      <c r="AY46" s="716"/>
      <c r="AZ46" s="716"/>
      <c r="BA46" s="716"/>
      <c r="BB46" s="716"/>
      <c r="BC46" s="716"/>
      <c r="BD46" s="716"/>
      <c r="BE46" s="716"/>
      <c r="BF46" s="716"/>
      <c r="BG46" s="716"/>
      <c r="BH46" s="716"/>
      <c r="BI46" s="716"/>
      <c r="BJ46" s="716">
        <v>1</v>
      </c>
      <c r="BK46" s="716"/>
      <c r="BL46" s="716"/>
      <c r="BM46" s="716"/>
      <c r="BN46" s="716"/>
      <c r="BO46" s="716"/>
      <c r="BP46" s="716"/>
      <c r="BQ46" s="716"/>
      <c r="BR46" s="716"/>
      <c r="BS46" s="716"/>
      <c r="BT46" s="716"/>
      <c r="BU46" s="716">
        <v>1</v>
      </c>
      <c r="BV46" s="716"/>
      <c r="BW46" s="716"/>
      <c r="BX46" s="716"/>
      <c r="BY46" s="716"/>
      <c r="BZ46" s="716"/>
      <c r="CA46" s="716"/>
      <c r="CB46" s="720"/>
      <c r="CC46" s="720"/>
      <c r="CD46" s="720"/>
      <c r="CE46" s="720"/>
      <c r="CF46" s="720"/>
      <c r="CG46" s="396"/>
      <c r="CH46" s="396"/>
      <c r="CI46" s="396"/>
      <c r="CJ46" s="396"/>
      <c r="CK46" s="396"/>
      <c r="CL46" s="396"/>
      <c r="CM46" s="396"/>
      <c r="CN46" s="396"/>
      <c r="CO46" s="396"/>
      <c r="CP46" s="396"/>
      <c r="CQ46" s="396"/>
      <c r="CR46" s="396"/>
      <c r="CS46" s="396"/>
      <c r="CT46" s="396"/>
      <c r="CU46" s="396"/>
      <c r="CV46" s="396"/>
      <c r="CW46" s="396"/>
      <c r="CX46" s="396"/>
      <c r="CY46" s="396"/>
      <c r="CZ46" s="396"/>
    </row>
    <row r="47" spans="1:104" s="723" customFormat="1" ht="24.6" customHeight="1">
      <c r="A47" s="718">
        <v>44</v>
      </c>
      <c r="B47" s="722" t="s">
        <v>800</v>
      </c>
      <c r="C47" s="722" t="s">
        <v>1055</v>
      </c>
      <c r="D47" s="722"/>
      <c r="E47" s="716"/>
      <c r="F47" s="716"/>
      <c r="G47" s="716"/>
      <c r="H47" s="716"/>
      <c r="I47" s="716"/>
      <c r="J47" s="716"/>
      <c r="K47" s="716"/>
      <c r="L47" s="716"/>
      <c r="M47" s="716"/>
      <c r="N47" s="716"/>
      <c r="O47" s="716"/>
      <c r="P47" s="716"/>
      <c r="Q47" s="716"/>
      <c r="R47" s="716">
        <v>1</v>
      </c>
      <c r="S47" s="716"/>
      <c r="T47" s="716"/>
      <c r="U47" s="716"/>
      <c r="V47" s="716"/>
      <c r="W47" s="716"/>
      <c r="X47" s="716"/>
      <c r="Y47" s="716"/>
      <c r="Z47" s="716">
        <v>1</v>
      </c>
      <c r="AA47" s="716"/>
      <c r="AB47" s="716"/>
      <c r="AC47" s="716"/>
      <c r="AD47" s="716"/>
      <c r="AE47" s="716"/>
      <c r="AF47" s="716"/>
      <c r="AG47" s="716"/>
      <c r="AH47" s="716"/>
      <c r="AI47" s="716"/>
      <c r="AJ47" s="716"/>
      <c r="AK47" s="716"/>
      <c r="AL47" s="716"/>
      <c r="AM47" s="716"/>
      <c r="AN47" s="716"/>
      <c r="AO47" s="716"/>
      <c r="AP47" s="716"/>
      <c r="AQ47" s="716"/>
      <c r="AR47" s="716"/>
      <c r="AS47" s="716"/>
      <c r="AT47" s="716"/>
      <c r="AU47" s="716"/>
      <c r="AV47" s="716"/>
      <c r="AW47" s="716"/>
      <c r="AX47" s="716">
        <v>3</v>
      </c>
      <c r="AY47" s="716"/>
      <c r="AZ47" s="716"/>
      <c r="BA47" s="716"/>
      <c r="BB47" s="716"/>
      <c r="BC47" s="716"/>
      <c r="BD47" s="716"/>
      <c r="BE47" s="716"/>
      <c r="BF47" s="716"/>
      <c r="BG47" s="716"/>
      <c r="BH47" s="716"/>
      <c r="BI47" s="716"/>
      <c r="BJ47" s="716">
        <v>1</v>
      </c>
      <c r="BK47" s="716"/>
      <c r="BL47" s="716"/>
      <c r="BM47" s="716"/>
      <c r="BN47" s="716"/>
      <c r="BO47" s="716"/>
      <c r="BP47" s="716"/>
      <c r="BQ47" s="716"/>
      <c r="BR47" s="716"/>
      <c r="BS47" s="716"/>
      <c r="BT47" s="716"/>
      <c r="BU47" s="716">
        <v>1</v>
      </c>
      <c r="BV47" s="716"/>
      <c r="BW47" s="716"/>
      <c r="BX47" s="716"/>
      <c r="BY47" s="716"/>
      <c r="BZ47" s="716"/>
      <c r="CA47" s="716"/>
      <c r="CB47" s="720"/>
      <c r="CC47" s="720"/>
      <c r="CD47" s="720"/>
      <c r="CE47" s="720"/>
      <c r="CF47" s="720"/>
      <c r="CG47" s="396"/>
      <c r="CH47" s="396"/>
      <c r="CI47" s="396"/>
      <c r="CJ47" s="396"/>
      <c r="CK47" s="396"/>
      <c r="CL47" s="396"/>
      <c r="CM47" s="396"/>
      <c r="CN47" s="396"/>
      <c r="CO47" s="396"/>
      <c r="CP47" s="396"/>
      <c r="CQ47" s="396"/>
      <c r="CR47" s="396"/>
      <c r="CS47" s="396"/>
      <c r="CT47" s="396"/>
      <c r="CU47" s="396"/>
      <c r="CV47" s="396"/>
      <c r="CW47" s="396"/>
      <c r="CX47" s="396"/>
      <c r="CY47" s="396"/>
      <c r="CZ47" s="396"/>
    </row>
    <row r="48" spans="1:104" s="723" customFormat="1" ht="24.6" customHeight="1">
      <c r="A48" s="718">
        <v>45</v>
      </c>
      <c r="B48" s="722" t="s">
        <v>801</v>
      </c>
      <c r="C48" s="722" t="s">
        <v>1055</v>
      </c>
      <c r="D48" s="722"/>
      <c r="E48" s="716"/>
      <c r="F48" s="716"/>
      <c r="G48" s="716"/>
      <c r="H48" s="716"/>
      <c r="I48" s="716"/>
      <c r="J48" s="716"/>
      <c r="K48" s="716"/>
      <c r="L48" s="716"/>
      <c r="M48" s="716"/>
      <c r="N48" s="716"/>
      <c r="O48" s="716"/>
      <c r="P48" s="716"/>
      <c r="Q48" s="716"/>
      <c r="R48" s="716">
        <v>1</v>
      </c>
      <c r="S48" s="716"/>
      <c r="T48" s="716"/>
      <c r="U48" s="716"/>
      <c r="V48" s="716"/>
      <c r="W48" s="716"/>
      <c r="X48" s="716"/>
      <c r="Y48" s="716"/>
      <c r="Z48" s="716">
        <v>1</v>
      </c>
      <c r="AA48" s="716"/>
      <c r="AB48" s="716"/>
      <c r="AC48" s="716"/>
      <c r="AD48" s="716"/>
      <c r="AE48" s="716"/>
      <c r="AF48" s="716"/>
      <c r="AG48" s="716"/>
      <c r="AH48" s="716"/>
      <c r="AI48" s="716"/>
      <c r="AJ48" s="716"/>
      <c r="AK48" s="716"/>
      <c r="AL48" s="716"/>
      <c r="AM48" s="716"/>
      <c r="AN48" s="716"/>
      <c r="AO48" s="716"/>
      <c r="AP48" s="716"/>
      <c r="AQ48" s="716"/>
      <c r="AR48" s="716"/>
      <c r="AS48" s="716"/>
      <c r="AT48" s="716"/>
      <c r="AU48" s="716"/>
      <c r="AV48" s="716"/>
      <c r="AW48" s="716"/>
      <c r="AX48" s="716">
        <v>3</v>
      </c>
      <c r="AY48" s="716"/>
      <c r="AZ48" s="716"/>
      <c r="BA48" s="716"/>
      <c r="BB48" s="716"/>
      <c r="BC48" s="716"/>
      <c r="BD48" s="716"/>
      <c r="BE48" s="716"/>
      <c r="BF48" s="716"/>
      <c r="BG48" s="716"/>
      <c r="BH48" s="716"/>
      <c r="BI48" s="716"/>
      <c r="BJ48" s="716">
        <v>1</v>
      </c>
      <c r="BK48" s="716"/>
      <c r="BL48" s="716"/>
      <c r="BM48" s="716"/>
      <c r="BN48" s="716"/>
      <c r="BO48" s="716"/>
      <c r="BP48" s="716"/>
      <c r="BQ48" s="716"/>
      <c r="BR48" s="716"/>
      <c r="BS48" s="716"/>
      <c r="BT48" s="716"/>
      <c r="BU48" s="716">
        <v>1</v>
      </c>
      <c r="BV48" s="716"/>
      <c r="BW48" s="716"/>
      <c r="BX48" s="716"/>
      <c r="BY48" s="716"/>
      <c r="BZ48" s="716"/>
      <c r="CA48" s="716"/>
      <c r="CB48" s="720"/>
      <c r="CC48" s="720"/>
      <c r="CD48" s="720"/>
      <c r="CE48" s="720"/>
      <c r="CF48" s="720"/>
      <c r="CG48" s="396"/>
      <c r="CH48" s="396"/>
      <c r="CI48" s="396"/>
      <c r="CJ48" s="396"/>
      <c r="CK48" s="396"/>
      <c r="CL48" s="396"/>
      <c r="CM48" s="396"/>
      <c r="CN48" s="396"/>
      <c r="CO48" s="396"/>
      <c r="CP48" s="396"/>
      <c r="CQ48" s="396"/>
      <c r="CR48" s="396"/>
      <c r="CS48" s="396"/>
      <c r="CT48" s="396"/>
      <c r="CU48" s="396"/>
      <c r="CV48" s="396"/>
      <c r="CW48" s="396"/>
      <c r="CX48" s="396"/>
      <c r="CY48" s="396"/>
      <c r="CZ48" s="396"/>
    </row>
    <row r="49" spans="1:104" s="723" customFormat="1" ht="24.6" customHeight="1">
      <c r="A49" s="718">
        <v>46</v>
      </c>
      <c r="B49" s="722" t="s">
        <v>802</v>
      </c>
      <c r="C49" s="722" t="s">
        <v>1055</v>
      </c>
      <c r="D49" s="722"/>
      <c r="E49" s="716"/>
      <c r="F49" s="716"/>
      <c r="G49" s="716"/>
      <c r="H49" s="716"/>
      <c r="I49" s="716"/>
      <c r="J49" s="716"/>
      <c r="K49" s="716"/>
      <c r="L49" s="716"/>
      <c r="M49" s="716"/>
      <c r="N49" s="716"/>
      <c r="O49" s="716"/>
      <c r="P49" s="716"/>
      <c r="Q49" s="716"/>
      <c r="R49" s="716">
        <v>1</v>
      </c>
      <c r="S49" s="716"/>
      <c r="T49" s="716"/>
      <c r="U49" s="716"/>
      <c r="V49" s="716"/>
      <c r="W49" s="716"/>
      <c r="X49" s="716"/>
      <c r="Y49" s="716"/>
      <c r="Z49" s="716">
        <v>1</v>
      </c>
      <c r="AA49" s="716"/>
      <c r="AB49" s="716"/>
      <c r="AC49" s="716"/>
      <c r="AD49" s="716"/>
      <c r="AE49" s="716"/>
      <c r="AF49" s="716"/>
      <c r="AG49" s="716"/>
      <c r="AH49" s="716"/>
      <c r="AI49" s="716"/>
      <c r="AJ49" s="716"/>
      <c r="AK49" s="716"/>
      <c r="AL49" s="716"/>
      <c r="AM49" s="716"/>
      <c r="AN49" s="716"/>
      <c r="AO49" s="716"/>
      <c r="AP49" s="716"/>
      <c r="AQ49" s="716"/>
      <c r="AR49" s="716"/>
      <c r="AS49" s="716"/>
      <c r="AT49" s="716"/>
      <c r="AU49" s="716"/>
      <c r="AV49" s="716"/>
      <c r="AW49" s="716"/>
      <c r="AX49" s="716">
        <v>3</v>
      </c>
      <c r="AY49" s="716"/>
      <c r="AZ49" s="716"/>
      <c r="BA49" s="716"/>
      <c r="BB49" s="716"/>
      <c r="BC49" s="716"/>
      <c r="BD49" s="716"/>
      <c r="BE49" s="716"/>
      <c r="BF49" s="716"/>
      <c r="BG49" s="716"/>
      <c r="BH49" s="716"/>
      <c r="BI49" s="716"/>
      <c r="BJ49" s="716">
        <v>1</v>
      </c>
      <c r="BK49" s="716"/>
      <c r="BL49" s="716"/>
      <c r="BM49" s="716"/>
      <c r="BN49" s="716"/>
      <c r="BO49" s="716"/>
      <c r="BP49" s="716"/>
      <c r="BQ49" s="716"/>
      <c r="BR49" s="716"/>
      <c r="BS49" s="716"/>
      <c r="BT49" s="716"/>
      <c r="BU49" s="716">
        <v>1</v>
      </c>
      <c r="BV49" s="716"/>
      <c r="BW49" s="716"/>
      <c r="BX49" s="716"/>
      <c r="BY49" s="716"/>
      <c r="BZ49" s="716"/>
      <c r="CA49" s="716"/>
      <c r="CB49" s="720"/>
      <c r="CC49" s="720"/>
      <c r="CD49" s="720"/>
      <c r="CE49" s="720"/>
      <c r="CF49" s="720"/>
      <c r="CG49" s="396"/>
      <c r="CH49" s="396"/>
      <c r="CI49" s="396"/>
      <c r="CJ49" s="396"/>
      <c r="CK49" s="396"/>
      <c r="CL49" s="396"/>
      <c r="CM49" s="396"/>
      <c r="CN49" s="396"/>
      <c r="CO49" s="396"/>
      <c r="CP49" s="396"/>
      <c r="CQ49" s="396"/>
      <c r="CR49" s="396"/>
      <c r="CS49" s="396"/>
      <c r="CT49" s="396"/>
      <c r="CU49" s="396"/>
      <c r="CV49" s="396"/>
      <c r="CW49" s="396"/>
      <c r="CX49" s="396"/>
      <c r="CY49" s="396"/>
      <c r="CZ49" s="396"/>
    </row>
    <row r="50" spans="1:104" s="723" customFormat="1" ht="24.6" customHeight="1">
      <c r="A50" s="718">
        <v>47</v>
      </c>
      <c r="B50" s="722" t="s">
        <v>803</v>
      </c>
      <c r="C50" s="722" t="s">
        <v>1055</v>
      </c>
      <c r="D50" s="722"/>
      <c r="E50" s="716"/>
      <c r="F50" s="716"/>
      <c r="G50" s="716"/>
      <c r="H50" s="716"/>
      <c r="I50" s="716"/>
      <c r="J50" s="716"/>
      <c r="K50" s="716"/>
      <c r="L50" s="716"/>
      <c r="M50" s="716"/>
      <c r="N50" s="716"/>
      <c r="O50" s="716"/>
      <c r="P50" s="716"/>
      <c r="Q50" s="716"/>
      <c r="R50" s="716">
        <v>1</v>
      </c>
      <c r="S50" s="716"/>
      <c r="T50" s="716"/>
      <c r="U50" s="716"/>
      <c r="V50" s="716"/>
      <c r="W50" s="716"/>
      <c r="X50" s="716"/>
      <c r="Y50" s="716"/>
      <c r="Z50" s="716">
        <v>1</v>
      </c>
      <c r="AA50" s="716"/>
      <c r="AB50" s="716"/>
      <c r="AC50" s="716"/>
      <c r="AD50" s="716"/>
      <c r="AE50" s="716"/>
      <c r="AF50" s="716"/>
      <c r="AG50" s="716"/>
      <c r="AH50" s="716"/>
      <c r="AI50" s="716"/>
      <c r="AJ50" s="716"/>
      <c r="AK50" s="716"/>
      <c r="AL50" s="716"/>
      <c r="AM50" s="716"/>
      <c r="AN50" s="716"/>
      <c r="AO50" s="716"/>
      <c r="AP50" s="716"/>
      <c r="AQ50" s="716"/>
      <c r="AR50" s="716"/>
      <c r="AS50" s="716"/>
      <c r="AT50" s="716"/>
      <c r="AU50" s="716"/>
      <c r="AV50" s="716"/>
      <c r="AW50" s="716"/>
      <c r="AX50" s="716">
        <v>3</v>
      </c>
      <c r="AY50" s="716"/>
      <c r="AZ50" s="716"/>
      <c r="BA50" s="716"/>
      <c r="BB50" s="716"/>
      <c r="BC50" s="716"/>
      <c r="BD50" s="716"/>
      <c r="BE50" s="716"/>
      <c r="BF50" s="716"/>
      <c r="BG50" s="716"/>
      <c r="BH50" s="716"/>
      <c r="BI50" s="716"/>
      <c r="BJ50" s="716">
        <v>1</v>
      </c>
      <c r="BK50" s="716"/>
      <c r="BL50" s="716"/>
      <c r="BM50" s="716"/>
      <c r="BN50" s="716"/>
      <c r="BO50" s="716"/>
      <c r="BP50" s="716"/>
      <c r="BQ50" s="716"/>
      <c r="BR50" s="716"/>
      <c r="BS50" s="716"/>
      <c r="BT50" s="716"/>
      <c r="BU50" s="716">
        <v>1</v>
      </c>
      <c r="BV50" s="716"/>
      <c r="BW50" s="716"/>
      <c r="BX50" s="716"/>
      <c r="BY50" s="716"/>
      <c r="BZ50" s="716"/>
      <c r="CA50" s="716"/>
      <c r="CB50" s="720"/>
      <c r="CC50" s="720"/>
      <c r="CD50" s="720"/>
      <c r="CE50" s="720"/>
      <c r="CF50" s="720"/>
      <c r="CG50" s="396"/>
      <c r="CH50" s="396"/>
      <c r="CI50" s="396"/>
      <c r="CJ50" s="396"/>
      <c r="CK50" s="396"/>
      <c r="CL50" s="396"/>
      <c r="CM50" s="396"/>
      <c r="CN50" s="396"/>
      <c r="CO50" s="396"/>
      <c r="CP50" s="396"/>
      <c r="CQ50" s="396"/>
      <c r="CR50" s="396"/>
      <c r="CS50" s="396"/>
      <c r="CT50" s="396"/>
      <c r="CU50" s="396"/>
      <c r="CV50" s="396"/>
      <c r="CW50" s="396"/>
      <c r="CX50" s="396"/>
      <c r="CY50" s="396"/>
      <c r="CZ50" s="396"/>
    </row>
    <row r="51" spans="1:104" s="723" customFormat="1" ht="24.6" customHeight="1">
      <c r="A51" s="718">
        <v>48</v>
      </c>
      <c r="B51" s="722" t="s">
        <v>804</v>
      </c>
      <c r="C51" s="722" t="s">
        <v>1055</v>
      </c>
      <c r="D51" s="722"/>
      <c r="E51" s="716"/>
      <c r="F51" s="716"/>
      <c r="G51" s="716"/>
      <c r="H51" s="716"/>
      <c r="I51" s="716"/>
      <c r="J51" s="716"/>
      <c r="K51" s="716"/>
      <c r="L51" s="716"/>
      <c r="M51" s="716"/>
      <c r="N51" s="716"/>
      <c r="O51" s="716"/>
      <c r="P51" s="716"/>
      <c r="Q51" s="716"/>
      <c r="R51" s="716">
        <v>1</v>
      </c>
      <c r="S51" s="716"/>
      <c r="T51" s="716"/>
      <c r="U51" s="716"/>
      <c r="V51" s="716"/>
      <c r="W51" s="716"/>
      <c r="X51" s="716"/>
      <c r="Y51" s="716"/>
      <c r="Z51" s="716">
        <v>1</v>
      </c>
      <c r="AA51" s="716"/>
      <c r="AB51" s="716"/>
      <c r="AC51" s="716"/>
      <c r="AD51" s="716"/>
      <c r="AE51" s="716"/>
      <c r="AF51" s="716"/>
      <c r="AG51" s="716"/>
      <c r="AH51" s="716"/>
      <c r="AI51" s="716"/>
      <c r="AJ51" s="716"/>
      <c r="AK51" s="716"/>
      <c r="AL51" s="716"/>
      <c r="AM51" s="716"/>
      <c r="AN51" s="716"/>
      <c r="AO51" s="716"/>
      <c r="AP51" s="716"/>
      <c r="AQ51" s="716"/>
      <c r="AR51" s="716"/>
      <c r="AS51" s="716"/>
      <c r="AT51" s="716"/>
      <c r="AU51" s="716"/>
      <c r="AV51" s="716"/>
      <c r="AW51" s="716"/>
      <c r="AX51" s="716">
        <v>3</v>
      </c>
      <c r="AY51" s="716"/>
      <c r="AZ51" s="716"/>
      <c r="BA51" s="716"/>
      <c r="BB51" s="716"/>
      <c r="BC51" s="716"/>
      <c r="BD51" s="716"/>
      <c r="BE51" s="716"/>
      <c r="BF51" s="716"/>
      <c r="BG51" s="716"/>
      <c r="BH51" s="716"/>
      <c r="BI51" s="716"/>
      <c r="BJ51" s="716">
        <v>1</v>
      </c>
      <c r="BK51" s="716"/>
      <c r="BL51" s="716"/>
      <c r="BM51" s="716"/>
      <c r="BN51" s="716"/>
      <c r="BO51" s="716"/>
      <c r="BP51" s="716"/>
      <c r="BQ51" s="716"/>
      <c r="BR51" s="716"/>
      <c r="BS51" s="716"/>
      <c r="BT51" s="716"/>
      <c r="BU51" s="716">
        <v>1</v>
      </c>
      <c r="BV51" s="716"/>
      <c r="BW51" s="716"/>
      <c r="BX51" s="716"/>
      <c r="BY51" s="716"/>
      <c r="BZ51" s="716"/>
      <c r="CA51" s="716"/>
      <c r="CB51" s="720"/>
      <c r="CC51" s="720"/>
      <c r="CD51" s="720"/>
      <c r="CE51" s="720"/>
      <c r="CF51" s="720"/>
      <c r="CG51" s="396"/>
      <c r="CH51" s="396"/>
      <c r="CI51" s="396"/>
      <c r="CJ51" s="396"/>
      <c r="CK51" s="396"/>
      <c r="CL51" s="396"/>
      <c r="CM51" s="396"/>
      <c r="CN51" s="396"/>
      <c r="CO51" s="396"/>
      <c r="CP51" s="396"/>
      <c r="CQ51" s="396"/>
      <c r="CR51" s="396"/>
      <c r="CS51" s="396"/>
      <c r="CT51" s="396"/>
      <c r="CU51" s="396"/>
      <c r="CV51" s="396"/>
      <c r="CW51" s="396"/>
      <c r="CX51" s="396"/>
      <c r="CY51" s="396"/>
      <c r="CZ51" s="396"/>
    </row>
    <row r="52" spans="1:104" s="723" customFormat="1" ht="24.6" customHeight="1">
      <c r="A52" s="718">
        <v>49</v>
      </c>
      <c r="B52" s="722" t="s">
        <v>805</v>
      </c>
      <c r="C52" s="722" t="s">
        <v>1055</v>
      </c>
      <c r="D52" s="722"/>
      <c r="E52" s="716"/>
      <c r="F52" s="716"/>
      <c r="G52" s="716"/>
      <c r="H52" s="716"/>
      <c r="I52" s="716"/>
      <c r="J52" s="716"/>
      <c r="K52" s="716"/>
      <c r="L52" s="716"/>
      <c r="M52" s="716"/>
      <c r="N52" s="716"/>
      <c r="O52" s="716"/>
      <c r="P52" s="716"/>
      <c r="Q52" s="716"/>
      <c r="R52" s="716">
        <v>1</v>
      </c>
      <c r="S52" s="716"/>
      <c r="T52" s="716"/>
      <c r="U52" s="716"/>
      <c r="V52" s="716"/>
      <c r="W52" s="716"/>
      <c r="X52" s="716"/>
      <c r="Y52" s="716"/>
      <c r="Z52" s="716">
        <v>1</v>
      </c>
      <c r="AA52" s="716"/>
      <c r="AB52" s="716"/>
      <c r="AC52" s="716"/>
      <c r="AD52" s="716"/>
      <c r="AE52" s="716"/>
      <c r="AF52" s="716"/>
      <c r="AG52" s="716"/>
      <c r="AH52" s="716"/>
      <c r="AI52" s="716"/>
      <c r="AJ52" s="716"/>
      <c r="AK52" s="716"/>
      <c r="AL52" s="716"/>
      <c r="AM52" s="716"/>
      <c r="AN52" s="716"/>
      <c r="AO52" s="716"/>
      <c r="AP52" s="716"/>
      <c r="AQ52" s="716"/>
      <c r="AR52" s="716"/>
      <c r="AS52" s="716"/>
      <c r="AT52" s="716"/>
      <c r="AU52" s="716"/>
      <c r="AV52" s="716"/>
      <c r="AW52" s="716"/>
      <c r="AX52" s="716">
        <v>3</v>
      </c>
      <c r="AY52" s="716"/>
      <c r="AZ52" s="716"/>
      <c r="BA52" s="716"/>
      <c r="BB52" s="716"/>
      <c r="BC52" s="716"/>
      <c r="BD52" s="716"/>
      <c r="BE52" s="716"/>
      <c r="BF52" s="716"/>
      <c r="BG52" s="716"/>
      <c r="BH52" s="716"/>
      <c r="BI52" s="716"/>
      <c r="BJ52" s="716">
        <v>1</v>
      </c>
      <c r="BK52" s="716"/>
      <c r="BL52" s="716"/>
      <c r="BM52" s="716"/>
      <c r="BN52" s="716"/>
      <c r="BO52" s="716"/>
      <c r="BP52" s="716"/>
      <c r="BQ52" s="716"/>
      <c r="BR52" s="716"/>
      <c r="BS52" s="716"/>
      <c r="BT52" s="716"/>
      <c r="BU52" s="716">
        <v>1</v>
      </c>
      <c r="BV52" s="716"/>
      <c r="BW52" s="716"/>
      <c r="BX52" s="716"/>
      <c r="BY52" s="716"/>
      <c r="BZ52" s="716"/>
      <c r="CA52" s="716"/>
      <c r="CB52" s="720"/>
      <c r="CC52" s="720"/>
      <c r="CD52" s="720"/>
      <c r="CE52" s="720"/>
      <c r="CF52" s="720"/>
      <c r="CG52" s="396"/>
      <c r="CH52" s="396"/>
      <c r="CI52" s="396"/>
      <c r="CJ52" s="396"/>
      <c r="CK52" s="396"/>
      <c r="CL52" s="396"/>
      <c r="CM52" s="396"/>
      <c r="CN52" s="396"/>
      <c r="CO52" s="396"/>
      <c r="CP52" s="396"/>
      <c r="CQ52" s="396"/>
      <c r="CR52" s="396"/>
      <c r="CS52" s="396"/>
      <c r="CT52" s="396"/>
      <c r="CU52" s="396"/>
      <c r="CV52" s="396"/>
      <c r="CW52" s="396"/>
      <c r="CX52" s="396"/>
      <c r="CY52" s="396"/>
      <c r="CZ52" s="396"/>
    </row>
    <row r="53" spans="1:104" s="431" customFormat="1" ht="24.6" customHeight="1">
      <c r="A53" s="432">
        <v>50</v>
      </c>
      <c r="B53" s="454" t="s">
        <v>819</v>
      </c>
      <c r="C53" s="454" t="s">
        <v>1057</v>
      </c>
      <c r="D53" s="454"/>
      <c r="E53" s="135"/>
      <c r="F53" s="135"/>
      <c r="G53" s="135"/>
      <c r="H53" s="135"/>
      <c r="I53" s="135"/>
      <c r="J53" s="135"/>
      <c r="K53" s="135"/>
      <c r="L53" s="135"/>
      <c r="M53" s="135"/>
      <c r="N53" s="135"/>
      <c r="O53" s="716"/>
      <c r="P53" s="716"/>
      <c r="Q53" s="716"/>
      <c r="R53" s="716"/>
      <c r="S53" s="716"/>
      <c r="T53" s="716"/>
      <c r="U53" s="716">
        <v>1</v>
      </c>
      <c r="V53" s="135">
        <v>3</v>
      </c>
      <c r="W53" s="135"/>
      <c r="X53" s="135">
        <v>3</v>
      </c>
      <c r="Y53" s="135"/>
      <c r="Z53" s="135"/>
      <c r="AA53" s="135">
        <v>3</v>
      </c>
      <c r="AB53" s="135">
        <v>3</v>
      </c>
      <c r="AC53" s="135"/>
      <c r="AD53" s="135"/>
      <c r="AE53" s="135"/>
      <c r="AF53" s="135"/>
      <c r="AG53" s="135"/>
      <c r="AH53" s="135"/>
      <c r="AI53" s="135"/>
      <c r="AJ53" s="135"/>
      <c r="AK53" s="135"/>
      <c r="AL53" s="135"/>
      <c r="AM53" s="135"/>
      <c r="AN53" s="135"/>
      <c r="AO53" s="135"/>
      <c r="AP53" s="135"/>
      <c r="AQ53" s="135"/>
      <c r="AR53" s="135"/>
      <c r="AS53" s="135"/>
      <c r="AT53" s="716"/>
      <c r="AU53" s="135"/>
      <c r="AV53" s="135"/>
      <c r="AW53" s="135"/>
      <c r="AX53" s="135"/>
      <c r="AY53" s="135"/>
      <c r="AZ53" s="135"/>
      <c r="BA53" s="135"/>
      <c r="BB53" s="135"/>
      <c r="BC53" s="135"/>
      <c r="BD53" s="135"/>
      <c r="BE53" s="135"/>
      <c r="BF53" s="135"/>
      <c r="BG53" s="135"/>
      <c r="BH53" s="135">
        <v>1</v>
      </c>
      <c r="BI53" s="135"/>
      <c r="BJ53" s="135"/>
      <c r="BK53" s="135"/>
      <c r="BL53" s="135"/>
      <c r="BM53" s="135">
        <v>1</v>
      </c>
      <c r="BN53" s="135">
        <f>V53</f>
        <v>3</v>
      </c>
      <c r="BO53" s="135"/>
      <c r="BP53" s="135"/>
      <c r="BQ53" s="135"/>
      <c r="BR53" s="135"/>
      <c r="BS53" s="135"/>
      <c r="BT53" s="135"/>
      <c r="BU53" s="135"/>
      <c r="BV53" s="135">
        <v>3</v>
      </c>
      <c r="BW53" s="135">
        <v>3</v>
      </c>
      <c r="BX53" s="135"/>
      <c r="BY53" s="135">
        <v>3</v>
      </c>
      <c r="BZ53" s="135"/>
      <c r="CA53" s="135"/>
      <c r="CB53" s="700"/>
      <c r="CC53" s="700"/>
      <c r="CD53" s="700"/>
      <c r="CE53" s="700"/>
      <c r="CF53" s="700"/>
      <c r="CG53" s="128"/>
      <c r="CH53" s="128"/>
      <c r="CI53" s="128"/>
      <c r="CJ53" s="128"/>
      <c r="CK53" s="128"/>
      <c r="CL53" s="128"/>
      <c r="CM53" s="128"/>
      <c r="CN53" s="128"/>
      <c r="CO53" s="128"/>
      <c r="CP53" s="128"/>
      <c r="CQ53" s="128"/>
      <c r="CR53" s="128"/>
      <c r="CS53" s="128"/>
      <c r="CT53" s="128"/>
      <c r="CU53" s="128"/>
      <c r="CV53" s="128"/>
      <c r="CW53" s="128"/>
      <c r="CX53" s="128"/>
      <c r="CY53" s="128"/>
      <c r="CZ53" s="128"/>
    </row>
    <row r="54" spans="1:104" s="431" customFormat="1" ht="24.6" customHeight="1">
      <c r="A54" s="432">
        <v>51</v>
      </c>
      <c r="B54" s="454" t="s">
        <v>817</v>
      </c>
      <c r="C54" s="454" t="s">
        <v>1060</v>
      </c>
      <c r="D54" s="454"/>
      <c r="E54" s="135"/>
      <c r="F54" s="135"/>
      <c r="G54" s="135"/>
      <c r="H54" s="135"/>
      <c r="I54" s="135"/>
      <c r="J54" s="135">
        <v>177</v>
      </c>
      <c r="K54" s="135"/>
      <c r="L54" s="135"/>
      <c r="M54" s="135"/>
      <c r="N54" s="135"/>
      <c r="O54" s="716"/>
      <c r="P54" s="716"/>
      <c r="Q54" s="716"/>
      <c r="R54" s="716"/>
      <c r="S54" s="716"/>
      <c r="T54" s="716"/>
      <c r="U54" s="716"/>
      <c r="V54" s="135"/>
      <c r="W54" s="135"/>
      <c r="X54" s="135"/>
      <c r="Y54" s="135">
        <v>3</v>
      </c>
      <c r="Z54" s="135">
        <v>1</v>
      </c>
      <c r="AA54" s="135"/>
      <c r="AB54" s="135"/>
      <c r="AC54" s="135"/>
      <c r="AD54" s="135"/>
      <c r="AE54" s="135"/>
      <c r="AF54" s="135"/>
      <c r="AG54" s="135"/>
      <c r="AH54" s="135"/>
      <c r="AI54" s="135"/>
      <c r="AJ54" s="135"/>
      <c r="AK54" s="135"/>
      <c r="AL54" s="135"/>
      <c r="AM54" s="135"/>
      <c r="AN54" s="135"/>
      <c r="AO54" s="135"/>
      <c r="AP54" s="135"/>
      <c r="AQ54" s="135"/>
      <c r="AR54" s="135"/>
      <c r="AS54" s="135"/>
      <c r="AT54" s="716"/>
      <c r="AU54" s="135"/>
      <c r="AV54" s="135"/>
      <c r="AW54" s="135"/>
      <c r="AX54" s="135"/>
      <c r="AY54" s="135"/>
      <c r="AZ54" s="135"/>
      <c r="BA54" s="135"/>
      <c r="BB54" s="135"/>
      <c r="BC54" s="135"/>
      <c r="BD54" s="135">
        <v>177</v>
      </c>
      <c r="BE54" s="135"/>
      <c r="BF54" s="135"/>
      <c r="BG54" s="135"/>
      <c r="BH54" s="135"/>
      <c r="BI54" s="135"/>
      <c r="BJ54" s="135"/>
      <c r="BK54" s="135"/>
      <c r="BL54" s="135"/>
      <c r="BM54" s="135"/>
      <c r="BN54" s="135"/>
      <c r="BO54" s="135">
        <f>Y54</f>
        <v>3</v>
      </c>
      <c r="BP54" s="135"/>
      <c r="BQ54" s="135"/>
      <c r="BR54" s="135"/>
      <c r="BS54" s="135"/>
      <c r="BT54" s="135"/>
      <c r="BU54" s="135">
        <v>1</v>
      </c>
      <c r="BV54" s="135"/>
      <c r="BW54" s="135"/>
      <c r="BX54" s="135"/>
      <c r="BY54" s="135"/>
      <c r="BZ54" s="135"/>
      <c r="CA54" s="135">
        <v>3</v>
      </c>
      <c r="CB54" s="700"/>
      <c r="CC54" s="700"/>
      <c r="CD54" s="700"/>
      <c r="CE54" s="700"/>
      <c r="CF54" s="700"/>
      <c r="CG54" s="128"/>
      <c r="CH54" s="128"/>
      <c r="CI54" s="128"/>
      <c r="CJ54" s="128"/>
      <c r="CK54" s="128"/>
      <c r="CL54" s="128"/>
      <c r="CM54" s="128"/>
      <c r="CN54" s="128"/>
      <c r="CO54" s="128"/>
      <c r="CP54" s="128"/>
      <c r="CQ54" s="128"/>
      <c r="CR54" s="128"/>
      <c r="CS54" s="128"/>
      <c r="CT54" s="128"/>
      <c r="CU54" s="128"/>
      <c r="CV54" s="128"/>
      <c r="CW54" s="128"/>
      <c r="CX54" s="128"/>
      <c r="CY54" s="128"/>
      <c r="CZ54" s="128"/>
    </row>
    <row r="55" spans="1:104" s="431" customFormat="1" ht="24.6" customHeight="1">
      <c r="A55" s="432">
        <v>52</v>
      </c>
      <c r="B55" s="454" t="s">
        <v>818</v>
      </c>
      <c r="C55" s="454" t="s">
        <v>1057</v>
      </c>
      <c r="D55" s="454"/>
      <c r="E55" s="135"/>
      <c r="F55" s="135"/>
      <c r="G55" s="135"/>
      <c r="H55" s="135"/>
      <c r="I55" s="135"/>
      <c r="J55" s="135">
        <v>27</v>
      </c>
      <c r="K55" s="135"/>
      <c r="L55" s="135"/>
      <c r="M55" s="135"/>
      <c r="N55" s="135"/>
      <c r="O55" s="716"/>
      <c r="P55" s="716">
        <v>1</v>
      </c>
      <c r="Q55" s="716"/>
      <c r="R55" s="716"/>
      <c r="S55" s="716"/>
      <c r="T55" s="716"/>
      <c r="U55" s="716"/>
      <c r="V55" s="135">
        <v>3</v>
      </c>
      <c r="W55" s="135"/>
      <c r="X55" s="135">
        <v>3</v>
      </c>
      <c r="Y55" s="135">
        <v>3</v>
      </c>
      <c r="Z55" s="135"/>
      <c r="AA55" s="135"/>
      <c r="AB55" s="135"/>
      <c r="AC55" s="135"/>
      <c r="AD55" s="135">
        <v>3</v>
      </c>
      <c r="AE55" s="135"/>
      <c r="AF55" s="135"/>
      <c r="AG55" s="135">
        <v>1</v>
      </c>
      <c r="AH55" s="135"/>
      <c r="AI55" s="135"/>
      <c r="AJ55" s="135"/>
      <c r="AK55" s="135"/>
      <c r="AL55" s="135"/>
      <c r="AM55" s="135"/>
      <c r="AN55" s="135"/>
      <c r="AO55" s="135"/>
      <c r="AP55" s="135"/>
      <c r="AQ55" s="135"/>
      <c r="AR55" s="135"/>
      <c r="AS55" s="135"/>
      <c r="AT55" s="716"/>
      <c r="AU55" s="135"/>
      <c r="AV55" s="135"/>
      <c r="AW55" s="135"/>
      <c r="AX55" s="135"/>
      <c r="AY55" s="135"/>
      <c r="AZ55" s="135"/>
      <c r="BA55" s="135"/>
      <c r="BB55" s="135"/>
      <c r="BC55" s="135"/>
      <c r="BD55" s="135">
        <v>27</v>
      </c>
      <c r="BE55" s="135"/>
      <c r="BF55" s="135"/>
      <c r="BG55" s="135"/>
      <c r="BH55" s="135">
        <v>1</v>
      </c>
      <c r="BI55" s="135"/>
      <c r="BJ55" s="135"/>
      <c r="BK55" s="135"/>
      <c r="BL55" s="135"/>
      <c r="BM55" s="135"/>
      <c r="BN55" s="135">
        <f>V55</f>
        <v>3</v>
      </c>
      <c r="BO55" s="135">
        <v>3</v>
      </c>
      <c r="BP55" s="135"/>
      <c r="BQ55" s="135"/>
      <c r="BR55" s="135"/>
      <c r="BS55" s="135"/>
      <c r="BT55" s="135"/>
      <c r="BU55" s="135"/>
      <c r="BV55" s="135"/>
      <c r="BW55" s="135"/>
      <c r="BX55" s="135"/>
      <c r="BY55" s="135">
        <v>3</v>
      </c>
      <c r="BZ55" s="135"/>
      <c r="CA55" s="135">
        <v>1</v>
      </c>
      <c r="CB55" s="700"/>
      <c r="CC55" s="700"/>
      <c r="CD55" s="700"/>
      <c r="CE55" s="700"/>
      <c r="CF55" s="700"/>
      <c r="CG55" s="128"/>
      <c r="CH55" s="128"/>
      <c r="CI55" s="128"/>
      <c r="CJ55" s="128"/>
      <c r="CK55" s="128"/>
      <c r="CL55" s="128"/>
      <c r="CM55" s="128"/>
      <c r="CN55" s="128"/>
      <c r="CO55" s="128"/>
      <c r="CP55" s="128"/>
      <c r="CQ55" s="128"/>
      <c r="CR55" s="128"/>
      <c r="CS55" s="128"/>
      <c r="CT55" s="128"/>
      <c r="CU55" s="128"/>
      <c r="CV55" s="128"/>
      <c r="CW55" s="128"/>
      <c r="CX55" s="128"/>
      <c r="CY55" s="128"/>
      <c r="CZ55" s="128"/>
    </row>
    <row r="56" spans="1:104" s="431" customFormat="1" ht="24.6" customHeight="1">
      <c r="A56" s="432">
        <v>53</v>
      </c>
      <c r="B56" s="454" t="s">
        <v>820</v>
      </c>
      <c r="C56" s="454" t="s">
        <v>1058</v>
      </c>
      <c r="D56" s="454"/>
      <c r="E56" s="716"/>
      <c r="F56" s="716"/>
      <c r="G56" s="716"/>
      <c r="H56" s="716"/>
      <c r="I56" s="135"/>
      <c r="J56" s="135"/>
      <c r="K56" s="135"/>
      <c r="L56" s="135"/>
      <c r="M56" s="135"/>
      <c r="N56" s="135"/>
      <c r="O56" s="716"/>
      <c r="P56" s="716">
        <v>2</v>
      </c>
      <c r="Q56" s="716"/>
      <c r="R56" s="716"/>
      <c r="S56" s="716"/>
      <c r="T56" s="716"/>
      <c r="U56" s="716"/>
      <c r="V56" s="135">
        <v>6</v>
      </c>
      <c r="W56" s="135">
        <v>6</v>
      </c>
      <c r="X56" s="135"/>
      <c r="Y56" s="135"/>
      <c r="Z56" s="135"/>
      <c r="AA56" s="135"/>
      <c r="AB56" s="135"/>
      <c r="AC56" s="135"/>
      <c r="AD56" s="135"/>
      <c r="AE56" s="135">
        <v>3</v>
      </c>
      <c r="AF56" s="135"/>
      <c r="AG56" s="135"/>
      <c r="AH56" s="135"/>
      <c r="AI56" s="135"/>
      <c r="AJ56" s="135"/>
      <c r="AK56" s="135"/>
      <c r="AL56" s="135">
        <v>1</v>
      </c>
      <c r="AM56" s="135"/>
      <c r="AN56" s="135"/>
      <c r="AO56" s="135"/>
      <c r="AP56" s="135"/>
      <c r="AQ56" s="135"/>
      <c r="AR56" s="135"/>
      <c r="AS56" s="135"/>
      <c r="AT56" s="716">
        <v>3</v>
      </c>
      <c r="AU56" s="135"/>
      <c r="AV56" s="135"/>
      <c r="AW56" s="135"/>
      <c r="AX56" s="135">
        <v>2</v>
      </c>
      <c r="AY56" s="135"/>
      <c r="AZ56" s="135"/>
      <c r="BA56" s="135"/>
      <c r="BB56" s="135"/>
      <c r="BC56" s="135"/>
      <c r="BD56" s="135"/>
      <c r="BE56" s="135"/>
      <c r="BF56" s="135"/>
      <c r="BG56" s="135"/>
      <c r="BH56" s="135">
        <v>2</v>
      </c>
      <c r="BI56" s="135"/>
      <c r="BJ56" s="135"/>
      <c r="BK56" s="135"/>
      <c r="BL56" s="135"/>
      <c r="BM56" s="135"/>
      <c r="BN56" s="135">
        <f>V56</f>
        <v>6</v>
      </c>
      <c r="BO56" s="135"/>
      <c r="BP56" s="135">
        <v>3</v>
      </c>
      <c r="BQ56" s="135"/>
      <c r="BR56" s="135"/>
      <c r="BS56" s="135"/>
      <c r="BT56" s="135"/>
      <c r="BU56" s="135"/>
      <c r="BV56" s="135"/>
      <c r="BW56" s="135"/>
      <c r="BX56" s="135">
        <v>6</v>
      </c>
      <c r="BY56" s="135"/>
      <c r="BZ56" s="135"/>
      <c r="CA56" s="135"/>
      <c r="CB56" s="700"/>
      <c r="CC56" s="700"/>
      <c r="CD56" s="700"/>
      <c r="CE56" s="700"/>
      <c r="CF56" s="700"/>
      <c r="CG56" s="128"/>
      <c r="CH56" s="128"/>
      <c r="CI56" s="128"/>
      <c r="CJ56" s="128"/>
      <c r="CK56" s="128"/>
      <c r="CL56" s="128"/>
      <c r="CM56" s="128"/>
      <c r="CN56" s="128"/>
      <c r="CO56" s="128"/>
      <c r="CP56" s="128"/>
      <c r="CQ56" s="128"/>
      <c r="CR56" s="128"/>
      <c r="CS56" s="128"/>
      <c r="CT56" s="128"/>
      <c r="CU56" s="128"/>
      <c r="CV56" s="128"/>
      <c r="CW56" s="128"/>
      <c r="CX56" s="128"/>
      <c r="CY56" s="128"/>
      <c r="CZ56" s="128"/>
    </row>
    <row r="57" spans="1:104" s="431" customFormat="1" ht="24.6" customHeight="1">
      <c r="A57" s="432">
        <v>54</v>
      </c>
      <c r="B57" s="454" t="s">
        <v>821</v>
      </c>
      <c r="C57" s="454" t="s">
        <v>1057</v>
      </c>
      <c r="D57" s="454"/>
      <c r="E57" s="135"/>
      <c r="F57" s="135"/>
      <c r="G57" s="135"/>
      <c r="H57" s="135"/>
      <c r="I57" s="135">
        <v>135</v>
      </c>
      <c r="J57" s="135"/>
      <c r="K57" s="135"/>
      <c r="L57" s="135"/>
      <c r="M57" s="135"/>
      <c r="N57" s="135"/>
      <c r="O57" s="716"/>
      <c r="P57" s="716">
        <v>2</v>
      </c>
      <c r="Q57" s="716"/>
      <c r="R57" s="716"/>
      <c r="S57" s="716"/>
      <c r="T57" s="716"/>
      <c r="U57" s="716"/>
      <c r="V57" s="135">
        <v>6</v>
      </c>
      <c r="W57" s="135">
        <v>6</v>
      </c>
      <c r="X57" s="135"/>
      <c r="Y57" s="135"/>
      <c r="Z57" s="135"/>
      <c r="AA57" s="135"/>
      <c r="AB57" s="135"/>
      <c r="AC57" s="135"/>
      <c r="AD57" s="135"/>
      <c r="AE57" s="135">
        <v>3</v>
      </c>
      <c r="AF57" s="135"/>
      <c r="AG57" s="135"/>
      <c r="AH57" s="135"/>
      <c r="AI57" s="135"/>
      <c r="AJ57" s="135"/>
      <c r="AK57" s="135"/>
      <c r="AL57" s="135">
        <v>1</v>
      </c>
      <c r="AM57" s="135"/>
      <c r="AN57" s="135"/>
      <c r="AO57" s="135"/>
      <c r="AP57" s="135"/>
      <c r="AQ57" s="135"/>
      <c r="AR57" s="135"/>
      <c r="AS57" s="135"/>
      <c r="AT57" s="716"/>
      <c r="AU57" s="135"/>
      <c r="AV57" s="135"/>
      <c r="AW57" s="135"/>
      <c r="AX57" s="135">
        <v>2</v>
      </c>
      <c r="AY57" s="135"/>
      <c r="AZ57" s="135"/>
      <c r="BA57" s="135"/>
      <c r="BB57" s="135"/>
      <c r="BC57" s="135">
        <v>135</v>
      </c>
      <c r="BD57" s="135"/>
      <c r="BE57" s="135"/>
      <c r="BF57" s="135"/>
      <c r="BG57" s="135"/>
      <c r="BH57" s="135">
        <v>2</v>
      </c>
      <c r="BI57" s="135"/>
      <c r="BJ57" s="135"/>
      <c r="BK57" s="135"/>
      <c r="BL57" s="135"/>
      <c r="BM57" s="135"/>
      <c r="BN57" s="135">
        <f>V57</f>
        <v>6</v>
      </c>
      <c r="BO57" s="135"/>
      <c r="BP57" s="135"/>
      <c r="BQ57" s="135"/>
      <c r="BR57" s="135"/>
      <c r="BS57" s="135"/>
      <c r="BT57" s="135"/>
      <c r="BU57" s="135"/>
      <c r="BV57" s="135"/>
      <c r="BW57" s="135"/>
      <c r="BX57" s="135">
        <v>6</v>
      </c>
      <c r="BY57" s="135"/>
      <c r="BZ57" s="135"/>
      <c r="CA57" s="135"/>
      <c r="CB57" s="700"/>
      <c r="CC57" s="700"/>
      <c r="CD57" s="700"/>
      <c r="CE57" s="700"/>
      <c r="CF57" s="700"/>
      <c r="CG57" s="128"/>
      <c r="CH57" s="128"/>
      <c r="CI57" s="128"/>
      <c r="CJ57" s="128"/>
      <c r="CK57" s="128"/>
      <c r="CL57" s="128"/>
      <c r="CM57" s="128"/>
      <c r="CN57" s="128"/>
      <c r="CO57" s="128"/>
      <c r="CP57" s="128"/>
      <c r="CQ57" s="128"/>
      <c r="CR57" s="128"/>
      <c r="CS57" s="128"/>
      <c r="CT57" s="128"/>
      <c r="CU57" s="128"/>
      <c r="CV57" s="128"/>
      <c r="CW57" s="128"/>
      <c r="CX57" s="128"/>
      <c r="CY57" s="128"/>
      <c r="CZ57" s="128"/>
    </row>
    <row r="58" spans="1:104" s="736" customFormat="1" ht="24.6" customHeight="1">
      <c r="A58" s="731">
        <v>55</v>
      </c>
      <c r="B58" s="732" t="s">
        <v>772</v>
      </c>
      <c r="C58" s="732" t="s">
        <v>1055</v>
      </c>
      <c r="D58" s="732"/>
      <c r="E58" s="733"/>
      <c r="F58" s="733"/>
      <c r="G58" s="733"/>
      <c r="H58" s="733"/>
      <c r="I58" s="733"/>
      <c r="J58" s="733"/>
      <c r="K58" s="733"/>
      <c r="L58" s="733">
        <v>1</v>
      </c>
      <c r="M58" s="733"/>
      <c r="N58" s="733">
        <v>1</v>
      </c>
      <c r="O58" s="733"/>
      <c r="P58" s="733"/>
      <c r="Q58" s="733"/>
      <c r="R58" s="733">
        <v>1</v>
      </c>
      <c r="S58" s="733"/>
      <c r="T58" s="733"/>
      <c r="U58" s="733"/>
      <c r="V58" s="733"/>
      <c r="W58" s="733"/>
      <c r="X58" s="733"/>
      <c r="Y58" s="733">
        <v>3</v>
      </c>
      <c r="Z58" s="733">
        <v>1</v>
      </c>
      <c r="AA58" s="733"/>
      <c r="AB58" s="733"/>
      <c r="AC58" s="733"/>
      <c r="AD58" s="733"/>
      <c r="AE58" s="733"/>
      <c r="AF58" s="733"/>
      <c r="AG58" s="733"/>
      <c r="AH58" s="733"/>
      <c r="AI58" s="733"/>
      <c r="AJ58" s="733"/>
      <c r="AK58" s="733"/>
      <c r="AL58" s="733"/>
      <c r="AM58" s="733"/>
      <c r="AN58" s="733"/>
      <c r="AO58" s="733"/>
      <c r="AP58" s="733"/>
      <c r="AQ58" s="733"/>
      <c r="AR58" s="733"/>
      <c r="AS58" s="733"/>
      <c r="AT58" s="733"/>
      <c r="AU58" s="733"/>
      <c r="AV58" s="733"/>
      <c r="AW58" s="733"/>
      <c r="AX58" s="733"/>
      <c r="AY58" s="733"/>
      <c r="AZ58" s="733"/>
      <c r="BA58" s="733"/>
      <c r="BB58" s="733"/>
      <c r="BC58" s="733"/>
      <c r="BD58" s="733"/>
      <c r="BE58" s="733"/>
      <c r="BF58" s="733">
        <f t="shared" ref="BF58:BF69" si="4">L58</f>
        <v>1</v>
      </c>
      <c r="BG58" s="733"/>
      <c r="BH58" s="733"/>
      <c r="BI58" s="733"/>
      <c r="BJ58" s="733">
        <v>1</v>
      </c>
      <c r="BK58" s="733"/>
      <c r="BL58" s="733"/>
      <c r="BM58" s="733"/>
      <c r="BN58" s="733"/>
      <c r="BO58" s="733">
        <f t="shared" ref="BO58:BO90" si="5">Y58</f>
        <v>3</v>
      </c>
      <c r="BP58" s="733"/>
      <c r="BQ58" s="733"/>
      <c r="BR58" s="733"/>
      <c r="BS58" s="733"/>
      <c r="BT58" s="733"/>
      <c r="BU58" s="733">
        <v>1</v>
      </c>
      <c r="BV58" s="733"/>
      <c r="BW58" s="733"/>
      <c r="BX58" s="733"/>
      <c r="BY58" s="733"/>
      <c r="BZ58" s="733"/>
      <c r="CA58" s="733"/>
      <c r="CB58" s="734"/>
      <c r="CC58" s="734"/>
      <c r="CD58" s="734"/>
      <c r="CE58" s="734"/>
      <c r="CF58" s="734"/>
      <c r="CG58" s="735"/>
      <c r="CH58" s="735"/>
      <c r="CI58" s="735"/>
      <c r="CJ58" s="735"/>
      <c r="CK58" s="735"/>
      <c r="CL58" s="735"/>
      <c r="CM58" s="735"/>
      <c r="CN58" s="735"/>
      <c r="CO58" s="735"/>
      <c r="CP58" s="735"/>
      <c r="CQ58" s="735"/>
      <c r="CR58" s="735"/>
      <c r="CS58" s="735"/>
      <c r="CT58" s="735"/>
      <c r="CU58" s="735"/>
      <c r="CV58" s="735"/>
      <c r="CW58" s="735"/>
      <c r="CX58" s="735"/>
      <c r="CY58" s="735"/>
      <c r="CZ58" s="735"/>
    </row>
    <row r="59" spans="1:104" s="736" customFormat="1" ht="24.6" customHeight="1">
      <c r="A59" s="731">
        <v>56</v>
      </c>
      <c r="B59" s="732" t="s">
        <v>773</v>
      </c>
      <c r="C59" s="732" t="s">
        <v>1055</v>
      </c>
      <c r="D59" s="732"/>
      <c r="E59" s="733"/>
      <c r="F59" s="733"/>
      <c r="G59" s="733"/>
      <c r="H59" s="733"/>
      <c r="I59" s="733"/>
      <c r="J59" s="733"/>
      <c r="K59" s="733"/>
      <c r="L59" s="733">
        <v>1</v>
      </c>
      <c r="M59" s="733"/>
      <c r="N59" s="733">
        <v>1</v>
      </c>
      <c r="O59" s="733"/>
      <c r="P59" s="733"/>
      <c r="Q59" s="733"/>
      <c r="R59" s="733">
        <v>1</v>
      </c>
      <c r="S59" s="733"/>
      <c r="T59" s="733"/>
      <c r="U59" s="733"/>
      <c r="V59" s="733"/>
      <c r="W59" s="733"/>
      <c r="X59" s="733"/>
      <c r="Y59" s="733">
        <v>3</v>
      </c>
      <c r="Z59" s="733">
        <v>1</v>
      </c>
      <c r="AA59" s="733"/>
      <c r="AB59" s="733"/>
      <c r="AC59" s="733"/>
      <c r="AD59" s="733"/>
      <c r="AE59" s="733"/>
      <c r="AF59" s="733"/>
      <c r="AG59" s="733"/>
      <c r="AH59" s="733"/>
      <c r="AI59" s="733"/>
      <c r="AJ59" s="733"/>
      <c r="AK59" s="733"/>
      <c r="AL59" s="733"/>
      <c r="AM59" s="733"/>
      <c r="AN59" s="733"/>
      <c r="AO59" s="733"/>
      <c r="AP59" s="733"/>
      <c r="AQ59" s="733"/>
      <c r="AR59" s="733"/>
      <c r="AS59" s="733"/>
      <c r="AT59" s="733"/>
      <c r="AU59" s="733"/>
      <c r="AV59" s="733"/>
      <c r="AW59" s="733"/>
      <c r="AX59" s="733"/>
      <c r="AY59" s="733"/>
      <c r="AZ59" s="733"/>
      <c r="BA59" s="733"/>
      <c r="BB59" s="733"/>
      <c r="BC59" s="733"/>
      <c r="BD59" s="733"/>
      <c r="BE59" s="733"/>
      <c r="BF59" s="733">
        <f t="shared" si="4"/>
        <v>1</v>
      </c>
      <c r="BG59" s="733"/>
      <c r="BH59" s="733"/>
      <c r="BI59" s="733"/>
      <c r="BJ59" s="733">
        <v>1</v>
      </c>
      <c r="BK59" s="733"/>
      <c r="BL59" s="733"/>
      <c r="BM59" s="733"/>
      <c r="BN59" s="733"/>
      <c r="BO59" s="733">
        <f t="shared" si="5"/>
        <v>3</v>
      </c>
      <c r="BP59" s="733"/>
      <c r="BQ59" s="733"/>
      <c r="BR59" s="733"/>
      <c r="BS59" s="733"/>
      <c r="BT59" s="733"/>
      <c r="BU59" s="733">
        <v>1</v>
      </c>
      <c r="BV59" s="733"/>
      <c r="BW59" s="733"/>
      <c r="BX59" s="733"/>
      <c r="BY59" s="733"/>
      <c r="BZ59" s="733"/>
      <c r="CA59" s="733"/>
      <c r="CB59" s="734"/>
      <c r="CC59" s="734"/>
      <c r="CD59" s="734"/>
      <c r="CE59" s="734"/>
      <c r="CF59" s="734"/>
      <c r="CG59" s="735"/>
      <c r="CH59" s="735"/>
      <c r="CI59" s="735"/>
      <c r="CJ59" s="735"/>
      <c r="CK59" s="735"/>
      <c r="CL59" s="735"/>
      <c r="CM59" s="735"/>
      <c r="CN59" s="735"/>
      <c r="CO59" s="735"/>
      <c r="CP59" s="735"/>
      <c r="CQ59" s="735"/>
      <c r="CR59" s="735"/>
      <c r="CS59" s="735"/>
      <c r="CT59" s="735"/>
      <c r="CU59" s="735"/>
      <c r="CV59" s="735"/>
      <c r="CW59" s="735"/>
      <c r="CX59" s="735"/>
      <c r="CY59" s="735"/>
      <c r="CZ59" s="735"/>
    </row>
    <row r="60" spans="1:104" s="736" customFormat="1" ht="24.6" customHeight="1">
      <c r="A60" s="731">
        <v>57</v>
      </c>
      <c r="B60" s="732" t="s">
        <v>774</v>
      </c>
      <c r="C60" s="732" t="s">
        <v>1055</v>
      </c>
      <c r="D60" s="732"/>
      <c r="E60" s="733"/>
      <c r="F60" s="733"/>
      <c r="G60" s="733"/>
      <c r="H60" s="733"/>
      <c r="I60" s="733"/>
      <c r="J60" s="733"/>
      <c r="K60" s="733"/>
      <c r="L60" s="733">
        <v>1</v>
      </c>
      <c r="M60" s="733"/>
      <c r="N60" s="733">
        <v>1</v>
      </c>
      <c r="O60" s="733"/>
      <c r="P60" s="733"/>
      <c r="Q60" s="733"/>
      <c r="R60" s="733">
        <v>1</v>
      </c>
      <c r="S60" s="733"/>
      <c r="T60" s="733"/>
      <c r="U60" s="733"/>
      <c r="V60" s="733"/>
      <c r="W60" s="733"/>
      <c r="X60" s="733"/>
      <c r="Y60" s="733">
        <v>3</v>
      </c>
      <c r="Z60" s="733">
        <v>1</v>
      </c>
      <c r="AA60" s="733"/>
      <c r="AB60" s="733"/>
      <c r="AC60" s="733"/>
      <c r="AD60" s="733"/>
      <c r="AE60" s="733"/>
      <c r="AF60" s="733"/>
      <c r="AG60" s="733"/>
      <c r="AH60" s="733"/>
      <c r="AI60" s="733"/>
      <c r="AJ60" s="733"/>
      <c r="AK60" s="733"/>
      <c r="AL60" s="733"/>
      <c r="AM60" s="733"/>
      <c r="AN60" s="733"/>
      <c r="AO60" s="733"/>
      <c r="AP60" s="733"/>
      <c r="AQ60" s="733"/>
      <c r="AR60" s="733"/>
      <c r="AS60" s="733"/>
      <c r="AT60" s="733"/>
      <c r="AU60" s="733"/>
      <c r="AV60" s="733"/>
      <c r="AW60" s="733"/>
      <c r="AX60" s="733"/>
      <c r="AY60" s="733"/>
      <c r="AZ60" s="733"/>
      <c r="BA60" s="733"/>
      <c r="BB60" s="733"/>
      <c r="BC60" s="733"/>
      <c r="BD60" s="733"/>
      <c r="BE60" s="733"/>
      <c r="BF60" s="733">
        <f t="shared" si="4"/>
        <v>1</v>
      </c>
      <c r="BG60" s="733"/>
      <c r="BH60" s="733"/>
      <c r="BI60" s="733"/>
      <c r="BJ60" s="733">
        <v>1</v>
      </c>
      <c r="BK60" s="733"/>
      <c r="BL60" s="733"/>
      <c r="BM60" s="733"/>
      <c r="BN60" s="733"/>
      <c r="BO60" s="733">
        <f t="shared" si="5"/>
        <v>3</v>
      </c>
      <c r="BP60" s="733"/>
      <c r="BQ60" s="733"/>
      <c r="BR60" s="733"/>
      <c r="BS60" s="733"/>
      <c r="BT60" s="733"/>
      <c r="BU60" s="733">
        <v>1</v>
      </c>
      <c r="BV60" s="733"/>
      <c r="BW60" s="733"/>
      <c r="BX60" s="733"/>
      <c r="BY60" s="733"/>
      <c r="BZ60" s="733"/>
      <c r="CA60" s="733"/>
      <c r="CB60" s="734"/>
      <c r="CC60" s="734"/>
      <c r="CD60" s="734"/>
      <c r="CE60" s="734"/>
      <c r="CF60" s="734"/>
      <c r="CG60" s="735"/>
      <c r="CH60" s="735"/>
      <c r="CI60" s="735"/>
      <c r="CJ60" s="735"/>
      <c r="CK60" s="735"/>
      <c r="CL60" s="735"/>
      <c r="CM60" s="735"/>
      <c r="CN60" s="735"/>
      <c r="CO60" s="735"/>
      <c r="CP60" s="735"/>
      <c r="CQ60" s="735"/>
      <c r="CR60" s="735"/>
      <c r="CS60" s="735"/>
      <c r="CT60" s="735"/>
      <c r="CU60" s="735"/>
      <c r="CV60" s="735"/>
      <c r="CW60" s="735"/>
      <c r="CX60" s="735"/>
      <c r="CY60" s="735"/>
      <c r="CZ60" s="735"/>
    </row>
    <row r="61" spans="1:104" s="736" customFormat="1" ht="24.6" customHeight="1">
      <c r="A61" s="731">
        <v>58</v>
      </c>
      <c r="B61" s="732" t="s">
        <v>775</v>
      </c>
      <c r="C61" s="732" t="s">
        <v>1055</v>
      </c>
      <c r="D61" s="732"/>
      <c r="E61" s="733"/>
      <c r="F61" s="733"/>
      <c r="G61" s="733"/>
      <c r="H61" s="733"/>
      <c r="I61" s="733"/>
      <c r="J61" s="733"/>
      <c r="K61" s="733"/>
      <c r="L61" s="733">
        <v>1</v>
      </c>
      <c r="M61" s="733"/>
      <c r="N61" s="733">
        <v>1</v>
      </c>
      <c r="O61" s="733"/>
      <c r="P61" s="733"/>
      <c r="Q61" s="733"/>
      <c r="R61" s="733">
        <v>1</v>
      </c>
      <c r="S61" s="733"/>
      <c r="T61" s="733"/>
      <c r="U61" s="733"/>
      <c r="V61" s="733"/>
      <c r="W61" s="733"/>
      <c r="X61" s="733"/>
      <c r="Y61" s="733">
        <v>3</v>
      </c>
      <c r="Z61" s="733">
        <v>1</v>
      </c>
      <c r="AA61" s="733"/>
      <c r="AB61" s="733"/>
      <c r="AC61" s="733"/>
      <c r="AD61" s="733"/>
      <c r="AE61" s="733"/>
      <c r="AF61" s="733"/>
      <c r="AG61" s="733"/>
      <c r="AH61" s="733"/>
      <c r="AI61" s="733"/>
      <c r="AJ61" s="733"/>
      <c r="AK61" s="733"/>
      <c r="AL61" s="733"/>
      <c r="AM61" s="733"/>
      <c r="AN61" s="733"/>
      <c r="AO61" s="733"/>
      <c r="AP61" s="733"/>
      <c r="AQ61" s="733"/>
      <c r="AR61" s="733"/>
      <c r="AS61" s="733"/>
      <c r="AT61" s="733"/>
      <c r="AU61" s="733"/>
      <c r="AV61" s="733"/>
      <c r="AW61" s="733"/>
      <c r="AX61" s="733"/>
      <c r="AY61" s="733"/>
      <c r="AZ61" s="733"/>
      <c r="BA61" s="733"/>
      <c r="BB61" s="733"/>
      <c r="BC61" s="733"/>
      <c r="BD61" s="733"/>
      <c r="BE61" s="733"/>
      <c r="BF61" s="733">
        <f t="shared" si="4"/>
        <v>1</v>
      </c>
      <c r="BG61" s="733"/>
      <c r="BH61" s="733"/>
      <c r="BI61" s="733"/>
      <c r="BJ61" s="733">
        <v>1</v>
      </c>
      <c r="BK61" s="733"/>
      <c r="BL61" s="733"/>
      <c r="BM61" s="733"/>
      <c r="BN61" s="733"/>
      <c r="BO61" s="733">
        <f t="shared" si="5"/>
        <v>3</v>
      </c>
      <c r="BP61" s="733"/>
      <c r="BQ61" s="733"/>
      <c r="BR61" s="733"/>
      <c r="BS61" s="733"/>
      <c r="BT61" s="733"/>
      <c r="BU61" s="733">
        <v>1</v>
      </c>
      <c r="BV61" s="733"/>
      <c r="BW61" s="733"/>
      <c r="BX61" s="733"/>
      <c r="BY61" s="733"/>
      <c r="BZ61" s="733"/>
      <c r="CA61" s="733"/>
      <c r="CB61" s="734"/>
      <c r="CC61" s="734"/>
      <c r="CD61" s="734"/>
      <c r="CE61" s="734"/>
      <c r="CF61" s="734"/>
      <c r="CG61" s="735"/>
      <c r="CH61" s="735"/>
      <c r="CI61" s="735"/>
      <c r="CJ61" s="735"/>
      <c r="CK61" s="735"/>
      <c r="CL61" s="735"/>
      <c r="CM61" s="735"/>
      <c r="CN61" s="735"/>
      <c r="CO61" s="735"/>
      <c r="CP61" s="735"/>
      <c r="CQ61" s="735"/>
      <c r="CR61" s="735"/>
      <c r="CS61" s="735"/>
      <c r="CT61" s="735"/>
      <c r="CU61" s="735"/>
      <c r="CV61" s="735"/>
      <c r="CW61" s="735"/>
      <c r="CX61" s="735"/>
      <c r="CY61" s="735"/>
      <c r="CZ61" s="735"/>
    </row>
    <row r="62" spans="1:104" s="736" customFormat="1" ht="24.6" customHeight="1">
      <c r="A62" s="731">
        <v>59</v>
      </c>
      <c r="B62" s="732" t="s">
        <v>776</v>
      </c>
      <c r="C62" s="732" t="s">
        <v>1055</v>
      </c>
      <c r="D62" s="732"/>
      <c r="E62" s="733"/>
      <c r="F62" s="733"/>
      <c r="G62" s="733"/>
      <c r="H62" s="733"/>
      <c r="I62" s="733"/>
      <c r="J62" s="733"/>
      <c r="K62" s="733"/>
      <c r="L62" s="733">
        <v>1</v>
      </c>
      <c r="M62" s="733"/>
      <c r="N62" s="733">
        <v>1</v>
      </c>
      <c r="O62" s="733"/>
      <c r="P62" s="733"/>
      <c r="Q62" s="733"/>
      <c r="R62" s="733">
        <v>1</v>
      </c>
      <c r="S62" s="733"/>
      <c r="T62" s="733"/>
      <c r="U62" s="733"/>
      <c r="V62" s="733"/>
      <c r="W62" s="733"/>
      <c r="X62" s="733"/>
      <c r="Y62" s="733">
        <v>3</v>
      </c>
      <c r="Z62" s="733">
        <v>1</v>
      </c>
      <c r="AA62" s="733"/>
      <c r="AB62" s="733"/>
      <c r="AC62" s="733"/>
      <c r="AD62" s="733"/>
      <c r="AE62" s="733"/>
      <c r="AF62" s="733"/>
      <c r="AG62" s="733"/>
      <c r="AH62" s="733"/>
      <c r="AI62" s="733"/>
      <c r="AJ62" s="733"/>
      <c r="AK62" s="733"/>
      <c r="AL62" s="733"/>
      <c r="AM62" s="733"/>
      <c r="AN62" s="733"/>
      <c r="AO62" s="733"/>
      <c r="AP62" s="733"/>
      <c r="AQ62" s="733"/>
      <c r="AR62" s="733"/>
      <c r="AS62" s="733"/>
      <c r="AT62" s="733"/>
      <c r="AU62" s="733"/>
      <c r="AV62" s="733"/>
      <c r="AW62" s="733"/>
      <c r="AX62" s="733"/>
      <c r="AY62" s="733"/>
      <c r="AZ62" s="733"/>
      <c r="BA62" s="733"/>
      <c r="BB62" s="733"/>
      <c r="BC62" s="733"/>
      <c r="BD62" s="733"/>
      <c r="BE62" s="733"/>
      <c r="BF62" s="733">
        <f t="shared" si="4"/>
        <v>1</v>
      </c>
      <c r="BG62" s="733"/>
      <c r="BH62" s="733"/>
      <c r="BI62" s="733"/>
      <c r="BJ62" s="733">
        <v>1</v>
      </c>
      <c r="BK62" s="733"/>
      <c r="BL62" s="733"/>
      <c r="BM62" s="733"/>
      <c r="BN62" s="733"/>
      <c r="BO62" s="733">
        <f t="shared" si="5"/>
        <v>3</v>
      </c>
      <c r="BP62" s="733"/>
      <c r="BQ62" s="733"/>
      <c r="BR62" s="733"/>
      <c r="BS62" s="733"/>
      <c r="BT62" s="733"/>
      <c r="BU62" s="733">
        <v>1</v>
      </c>
      <c r="BV62" s="733"/>
      <c r="BW62" s="733"/>
      <c r="BX62" s="733"/>
      <c r="BY62" s="733"/>
      <c r="BZ62" s="733"/>
      <c r="CA62" s="733"/>
      <c r="CB62" s="734"/>
      <c r="CC62" s="734"/>
      <c r="CD62" s="734"/>
      <c r="CE62" s="734"/>
      <c r="CF62" s="734"/>
      <c r="CG62" s="735"/>
      <c r="CH62" s="735"/>
      <c r="CI62" s="735"/>
      <c r="CJ62" s="735"/>
      <c r="CK62" s="735"/>
      <c r="CL62" s="735"/>
      <c r="CM62" s="735"/>
      <c r="CN62" s="735"/>
      <c r="CO62" s="735"/>
      <c r="CP62" s="735"/>
      <c r="CQ62" s="735"/>
      <c r="CR62" s="735"/>
      <c r="CS62" s="735"/>
      <c r="CT62" s="735"/>
      <c r="CU62" s="735"/>
      <c r="CV62" s="735"/>
      <c r="CW62" s="735"/>
      <c r="CX62" s="735"/>
      <c r="CY62" s="735"/>
      <c r="CZ62" s="735"/>
    </row>
    <row r="63" spans="1:104" s="736" customFormat="1" ht="24.6" customHeight="1">
      <c r="A63" s="731">
        <v>60</v>
      </c>
      <c r="B63" s="732" t="s">
        <v>777</v>
      </c>
      <c r="C63" s="732" t="s">
        <v>1055</v>
      </c>
      <c r="D63" s="732"/>
      <c r="E63" s="733"/>
      <c r="F63" s="733"/>
      <c r="G63" s="733"/>
      <c r="H63" s="733"/>
      <c r="I63" s="733"/>
      <c r="J63" s="733"/>
      <c r="K63" s="733"/>
      <c r="L63" s="733">
        <v>1</v>
      </c>
      <c r="M63" s="733"/>
      <c r="N63" s="733">
        <v>1</v>
      </c>
      <c r="O63" s="733"/>
      <c r="P63" s="733"/>
      <c r="Q63" s="733"/>
      <c r="R63" s="733">
        <v>1</v>
      </c>
      <c r="S63" s="733"/>
      <c r="T63" s="733"/>
      <c r="U63" s="733"/>
      <c r="V63" s="733"/>
      <c r="W63" s="733"/>
      <c r="X63" s="733"/>
      <c r="Y63" s="733">
        <v>3</v>
      </c>
      <c r="Z63" s="733">
        <v>1</v>
      </c>
      <c r="AA63" s="733"/>
      <c r="AB63" s="733"/>
      <c r="AC63" s="733"/>
      <c r="AD63" s="733"/>
      <c r="AE63" s="733"/>
      <c r="AF63" s="733"/>
      <c r="AG63" s="733"/>
      <c r="AH63" s="733"/>
      <c r="AI63" s="733"/>
      <c r="AJ63" s="733"/>
      <c r="AK63" s="733"/>
      <c r="AL63" s="733"/>
      <c r="AM63" s="733"/>
      <c r="AN63" s="733"/>
      <c r="AO63" s="733"/>
      <c r="AP63" s="733"/>
      <c r="AQ63" s="733"/>
      <c r="AR63" s="733"/>
      <c r="AS63" s="733"/>
      <c r="AT63" s="733"/>
      <c r="AU63" s="733"/>
      <c r="AV63" s="733"/>
      <c r="AW63" s="733"/>
      <c r="AX63" s="733"/>
      <c r="AY63" s="733"/>
      <c r="AZ63" s="733"/>
      <c r="BA63" s="733"/>
      <c r="BB63" s="733"/>
      <c r="BC63" s="733"/>
      <c r="BD63" s="733"/>
      <c r="BE63" s="733"/>
      <c r="BF63" s="733">
        <f t="shared" si="4"/>
        <v>1</v>
      </c>
      <c r="BG63" s="733"/>
      <c r="BH63" s="733"/>
      <c r="BI63" s="733"/>
      <c r="BJ63" s="733">
        <v>1</v>
      </c>
      <c r="BK63" s="733"/>
      <c r="BL63" s="733"/>
      <c r="BM63" s="733"/>
      <c r="BN63" s="733"/>
      <c r="BO63" s="733">
        <f t="shared" si="5"/>
        <v>3</v>
      </c>
      <c r="BP63" s="733"/>
      <c r="BQ63" s="733"/>
      <c r="BR63" s="733"/>
      <c r="BS63" s="733"/>
      <c r="BT63" s="733"/>
      <c r="BU63" s="733">
        <v>1</v>
      </c>
      <c r="BV63" s="733"/>
      <c r="BW63" s="733"/>
      <c r="BX63" s="733"/>
      <c r="BY63" s="733"/>
      <c r="BZ63" s="733"/>
      <c r="CA63" s="733"/>
      <c r="CB63" s="734"/>
      <c r="CC63" s="734"/>
      <c r="CD63" s="734"/>
      <c r="CE63" s="734"/>
      <c r="CF63" s="734"/>
      <c r="CG63" s="735"/>
      <c r="CH63" s="735"/>
      <c r="CI63" s="735"/>
      <c r="CJ63" s="735"/>
      <c r="CK63" s="735"/>
      <c r="CL63" s="735"/>
      <c r="CM63" s="735"/>
      <c r="CN63" s="735"/>
      <c r="CO63" s="735"/>
      <c r="CP63" s="735"/>
      <c r="CQ63" s="735"/>
      <c r="CR63" s="735"/>
      <c r="CS63" s="735"/>
      <c r="CT63" s="735"/>
      <c r="CU63" s="735"/>
      <c r="CV63" s="735"/>
      <c r="CW63" s="735"/>
      <c r="CX63" s="735"/>
      <c r="CY63" s="735"/>
      <c r="CZ63" s="735"/>
    </row>
    <row r="64" spans="1:104" s="736" customFormat="1" ht="24.6" customHeight="1">
      <c r="A64" s="731">
        <v>61</v>
      </c>
      <c r="B64" s="732" t="s">
        <v>778</v>
      </c>
      <c r="C64" s="732" t="s">
        <v>1055</v>
      </c>
      <c r="D64" s="732"/>
      <c r="E64" s="733"/>
      <c r="F64" s="733"/>
      <c r="G64" s="733"/>
      <c r="H64" s="733"/>
      <c r="I64" s="733"/>
      <c r="J64" s="733"/>
      <c r="K64" s="733"/>
      <c r="L64" s="733">
        <v>1</v>
      </c>
      <c r="M64" s="733"/>
      <c r="N64" s="733">
        <v>1</v>
      </c>
      <c r="O64" s="733"/>
      <c r="P64" s="733"/>
      <c r="Q64" s="733"/>
      <c r="R64" s="733">
        <v>1</v>
      </c>
      <c r="S64" s="733"/>
      <c r="T64" s="733"/>
      <c r="U64" s="733"/>
      <c r="V64" s="733"/>
      <c r="W64" s="733"/>
      <c r="X64" s="733"/>
      <c r="Y64" s="733">
        <v>3</v>
      </c>
      <c r="Z64" s="733">
        <v>1</v>
      </c>
      <c r="AA64" s="733"/>
      <c r="AB64" s="733"/>
      <c r="AC64" s="733"/>
      <c r="AD64" s="733"/>
      <c r="AE64" s="733"/>
      <c r="AF64" s="733"/>
      <c r="AG64" s="733"/>
      <c r="AH64" s="733"/>
      <c r="AI64" s="733"/>
      <c r="AJ64" s="733"/>
      <c r="AK64" s="733"/>
      <c r="AL64" s="733"/>
      <c r="AM64" s="733"/>
      <c r="AN64" s="733"/>
      <c r="AO64" s="733"/>
      <c r="AP64" s="733"/>
      <c r="AQ64" s="733"/>
      <c r="AR64" s="733"/>
      <c r="AS64" s="733"/>
      <c r="AT64" s="733"/>
      <c r="AU64" s="733"/>
      <c r="AV64" s="733"/>
      <c r="AW64" s="733"/>
      <c r="AX64" s="733"/>
      <c r="AY64" s="733"/>
      <c r="AZ64" s="733"/>
      <c r="BA64" s="733"/>
      <c r="BB64" s="733"/>
      <c r="BC64" s="733"/>
      <c r="BD64" s="733"/>
      <c r="BE64" s="733"/>
      <c r="BF64" s="733">
        <f t="shared" si="4"/>
        <v>1</v>
      </c>
      <c r="BG64" s="733"/>
      <c r="BH64" s="733"/>
      <c r="BI64" s="733"/>
      <c r="BJ64" s="733">
        <v>1</v>
      </c>
      <c r="BK64" s="733"/>
      <c r="BL64" s="733"/>
      <c r="BM64" s="733"/>
      <c r="BN64" s="733"/>
      <c r="BO64" s="733">
        <f t="shared" si="5"/>
        <v>3</v>
      </c>
      <c r="BP64" s="733"/>
      <c r="BQ64" s="733"/>
      <c r="BR64" s="733"/>
      <c r="BS64" s="733"/>
      <c r="BT64" s="733"/>
      <c r="BU64" s="733">
        <v>1</v>
      </c>
      <c r="BV64" s="733"/>
      <c r="BW64" s="733"/>
      <c r="BX64" s="733"/>
      <c r="BY64" s="733"/>
      <c r="BZ64" s="733"/>
      <c r="CA64" s="733"/>
      <c r="CB64" s="734"/>
      <c r="CC64" s="734"/>
      <c r="CD64" s="734"/>
      <c r="CE64" s="734"/>
      <c r="CF64" s="734"/>
      <c r="CG64" s="735"/>
      <c r="CH64" s="735"/>
      <c r="CI64" s="735"/>
      <c r="CJ64" s="735"/>
      <c r="CK64" s="735"/>
      <c r="CL64" s="735"/>
      <c r="CM64" s="735"/>
      <c r="CN64" s="735"/>
      <c r="CO64" s="735"/>
      <c r="CP64" s="735"/>
      <c r="CQ64" s="735"/>
      <c r="CR64" s="735"/>
      <c r="CS64" s="735"/>
      <c r="CT64" s="735"/>
      <c r="CU64" s="735"/>
      <c r="CV64" s="735"/>
      <c r="CW64" s="735"/>
      <c r="CX64" s="735"/>
      <c r="CY64" s="735"/>
      <c r="CZ64" s="735"/>
    </row>
    <row r="65" spans="1:104" s="736" customFormat="1" ht="24.6" customHeight="1">
      <c r="A65" s="731">
        <v>62</v>
      </c>
      <c r="B65" s="732" t="s">
        <v>779</v>
      </c>
      <c r="C65" s="732" t="s">
        <v>1055</v>
      </c>
      <c r="D65" s="732"/>
      <c r="E65" s="733"/>
      <c r="F65" s="733"/>
      <c r="G65" s="733"/>
      <c r="H65" s="733"/>
      <c r="I65" s="733"/>
      <c r="J65" s="733"/>
      <c r="K65" s="733"/>
      <c r="L65" s="733">
        <v>1</v>
      </c>
      <c r="M65" s="733"/>
      <c r="N65" s="733">
        <v>1</v>
      </c>
      <c r="O65" s="733"/>
      <c r="P65" s="733"/>
      <c r="Q65" s="733"/>
      <c r="R65" s="733">
        <v>1</v>
      </c>
      <c r="S65" s="733"/>
      <c r="T65" s="733"/>
      <c r="U65" s="733"/>
      <c r="V65" s="733"/>
      <c r="W65" s="733"/>
      <c r="X65" s="733"/>
      <c r="Y65" s="733">
        <v>3</v>
      </c>
      <c r="Z65" s="733">
        <v>1</v>
      </c>
      <c r="AA65" s="733"/>
      <c r="AB65" s="733"/>
      <c r="AC65" s="733"/>
      <c r="AD65" s="733"/>
      <c r="AE65" s="733"/>
      <c r="AF65" s="733"/>
      <c r="AG65" s="733"/>
      <c r="AH65" s="733"/>
      <c r="AI65" s="733"/>
      <c r="AJ65" s="733"/>
      <c r="AK65" s="733"/>
      <c r="AL65" s="733"/>
      <c r="AM65" s="733"/>
      <c r="AN65" s="733"/>
      <c r="AO65" s="733"/>
      <c r="AP65" s="733"/>
      <c r="AQ65" s="733"/>
      <c r="AR65" s="733"/>
      <c r="AS65" s="733"/>
      <c r="AT65" s="733"/>
      <c r="AU65" s="733"/>
      <c r="AV65" s="733"/>
      <c r="AW65" s="733"/>
      <c r="AX65" s="733"/>
      <c r="AY65" s="733"/>
      <c r="AZ65" s="733"/>
      <c r="BA65" s="733"/>
      <c r="BB65" s="733"/>
      <c r="BC65" s="733"/>
      <c r="BD65" s="733"/>
      <c r="BE65" s="733"/>
      <c r="BF65" s="733">
        <f t="shared" si="4"/>
        <v>1</v>
      </c>
      <c r="BG65" s="733"/>
      <c r="BH65" s="733"/>
      <c r="BI65" s="733"/>
      <c r="BJ65" s="733">
        <v>1</v>
      </c>
      <c r="BK65" s="733"/>
      <c r="BL65" s="733"/>
      <c r="BM65" s="733"/>
      <c r="BN65" s="733"/>
      <c r="BO65" s="733">
        <f t="shared" si="5"/>
        <v>3</v>
      </c>
      <c r="BP65" s="733"/>
      <c r="BQ65" s="733"/>
      <c r="BR65" s="733"/>
      <c r="BS65" s="733"/>
      <c r="BT65" s="733"/>
      <c r="BU65" s="733">
        <v>1</v>
      </c>
      <c r="BV65" s="733"/>
      <c r="BW65" s="733"/>
      <c r="BX65" s="733"/>
      <c r="BY65" s="733"/>
      <c r="BZ65" s="733"/>
      <c r="CA65" s="733"/>
      <c r="CB65" s="734"/>
      <c r="CC65" s="734"/>
      <c r="CD65" s="734"/>
      <c r="CE65" s="734"/>
      <c r="CF65" s="734"/>
      <c r="CG65" s="735"/>
      <c r="CH65" s="735"/>
      <c r="CI65" s="735"/>
      <c r="CJ65" s="735"/>
      <c r="CK65" s="735"/>
      <c r="CL65" s="735"/>
      <c r="CM65" s="735"/>
      <c r="CN65" s="735"/>
      <c r="CO65" s="735"/>
      <c r="CP65" s="735"/>
      <c r="CQ65" s="735"/>
      <c r="CR65" s="735"/>
      <c r="CS65" s="735"/>
      <c r="CT65" s="735"/>
      <c r="CU65" s="735"/>
      <c r="CV65" s="735"/>
      <c r="CW65" s="735"/>
      <c r="CX65" s="735"/>
      <c r="CY65" s="735"/>
      <c r="CZ65" s="735"/>
    </row>
    <row r="66" spans="1:104" s="736" customFormat="1" ht="24.6" customHeight="1">
      <c r="A66" s="731">
        <v>63</v>
      </c>
      <c r="B66" s="732" t="s">
        <v>780</v>
      </c>
      <c r="C66" s="732" t="s">
        <v>1055</v>
      </c>
      <c r="D66" s="732"/>
      <c r="E66" s="733"/>
      <c r="F66" s="733"/>
      <c r="G66" s="733"/>
      <c r="H66" s="733"/>
      <c r="I66" s="733"/>
      <c r="J66" s="733"/>
      <c r="K66" s="733"/>
      <c r="L66" s="733">
        <v>1</v>
      </c>
      <c r="M66" s="733"/>
      <c r="N66" s="733">
        <v>1</v>
      </c>
      <c r="O66" s="733"/>
      <c r="P66" s="733"/>
      <c r="Q66" s="733"/>
      <c r="R66" s="733">
        <v>1</v>
      </c>
      <c r="S66" s="733"/>
      <c r="T66" s="733"/>
      <c r="U66" s="733"/>
      <c r="V66" s="733"/>
      <c r="W66" s="733"/>
      <c r="X66" s="733"/>
      <c r="Y66" s="733">
        <v>3</v>
      </c>
      <c r="Z66" s="733">
        <v>1</v>
      </c>
      <c r="AA66" s="733"/>
      <c r="AB66" s="733"/>
      <c r="AC66" s="733"/>
      <c r="AD66" s="733"/>
      <c r="AE66" s="733"/>
      <c r="AF66" s="733"/>
      <c r="AG66" s="733"/>
      <c r="AH66" s="733"/>
      <c r="AI66" s="733"/>
      <c r="AJ66" s="733"/>
      <c r="AK66" s="733"/>
      <c r="AL66" s="733"/>
      <c r="AM66" s="733"/>
      <c r="AN66" s="733"/>
      <c r="AO66" s="733"/>
      <c r="AP66" s="733"/>
      <c r="AQ66" s="733"/>
      <c r="AR66" s="733"/>
      <c r="AS66" s="733"/>
      <c r="AT66" s="733"/>
      <c r="AU66" s="733"/>
      <c r="AV66" s="733"/>
      <c r="AW66" s="733"/>
      <c r="AX66" s="733"/>
      <c r="AY66" s="733"/>
      <c r="AZ66" s="733"/>
      <c r="BA66" s="733"/>
      <c r="BB66" s="733"/>
      <c r="BC66" s="733"/>
      <c r="BD66" s="733"/>
      <c r="BE66" s="733"/>
      <c r="BF66" s="733">
        <f t="shared" si="4"/>
        <v>1</v>
      </c>
      <c r="BG66" s="733"/>
      <c r="BH66" s="733"/>
      <c r="BI66" s="733"/>
      <c r="BJ66" s="733">
        <v>1</v>
      </c>
      <c r="BK66" s="733"/>
      <c r="BL66" s="733"/>
      <c r="BM66" s="733"/>
      <c r="BN66" s="733"/>
      <c r="BO66" s="733">
        <f t="shared" si="5"/>
        <v>3</v>
      </c>
      <c r="BP66" s="733"/>
      <c r="BQ66" s="733"/>
      <c r="BR66" s="733"/>
      <c r="BS66" s="733"/>
      <c r="BT66" s="733"/>
      <c r="BU66" s="733">
        <v>1</v>
      </c>
      <c r="BV66" s="733"/>
      <c r="BW66" s="733"/>
      <c r="BX66" s="733"/>
      <c r="BY66" s="733"/>
      <c r="BZ66" s="733"/>
      <c r="CA66" s="733"/>
      <c r="CB66" s="734"/>
      <c r="CC66" s="734"/>
      <c r="CD66" s="734"/>
      <c r="CE66" s="734"/>
      <c r="CF66" s="734"/>
      <c r="CG66" s="735"/>
      <c r="CH66" s="735"/>
      <c r="CI66" s="735"/>
      <c r="CJ66" s="735"/>
      <c r="CK66" s="735"/>
      <c r="CL66" s="735"/>
      <c r="CM66" s="735"/>
      <c r="CN66" s="735"/>
      <c r="CO66" s="735"/>
      <c r="CP66" s="735"/>
      <c r="CQ66" s="735"/>
      <c r="CR66" s="735"/>
      <c r="CS66" s="735"/>
      <c r="CT66" s="735"/>
      <c r="CU66" s="735"/>
      <c r="CV66" s="735"/>
      <c r="CW66" s="735"/>
      <c r="CX66" s="735"/>
      <c r="CY66" s="735"/>
      <c r="CZ66" s="735"/>
    </row>
    <row r="67" spans="1:104" s="736" customFormat="1" ht="24.6" customHeight="1">
      <c r="A67" s="731">
        <v>64</v>
      </c>
      <c r="B67" s="732" t="s">
        <v>781</v>
      </c>
      <c r="C67" s="732" t="s">
        <v>1063</v>
      </c>
      <c r="D67" s="732"/>
      <c r="E67" s="733"/>
      <c r="F67" s="733"/>
      <c r="G67" s="733"/>
      <c r="H67" s="733"/>
      <c r="I67" s="733"/>
      <c r="J67" s="733"/>
      <c r="K67" s="733"/>
      <c r="L67" s="733">
        <v>1</v>
      </c>
      <c r="M67" s="733"/>
      <c r="N67" s="733">
        <v>1</v>
      </c>
      <c r="O67" s="733"/>
      <c r="P67" s="733"/>
      <c r="Q67" s="733"/>
      <c r="R67" s="733"/>
      <c r="S67" s="733"/>
      <c r="T67" s="733">
        <v>1</v>
      </c>
      <c r="U67" s="733"/>
      <c r="V67" s="733">
        <v>6</v>
      </c>
      <c r="W67" s="733"/>
      <c r="X67" s="733"/>
      <c r="Y67" s="733">
        <v>2</v>
      </c>
      <c r="Z67" s="733">
        <v>2</v>
      </c>
      <c r="AA67" s="733"/>
      <c r="AB67" s="733"/>
      <c r="AC67" s="733"/>
      <c r="AD67" s="733"/>
      <c r="AE67" s="733"/>
      <c r="AF67" s="733">
        <v>6</v>
      </c>
      <c r="AG67" s="733"/>
      <c r="AH67" s="733"/>
      <c r="AI67" s="733"/>
      <c r="AJ67" s="733"/>
      <c r="AK67" s="733"/>
      <c r="AL67" s="733"/>
      <c r="AM67" s="733"/>
      <c r="AN67" s="733"/>
      <c r="AO67" s="733"/>
      <c r="AP67" s="733"/>
      <c r="AQ67" s="733"/>
      <c r="AR67" s="733"/>
      <c r="AS67" s="733"/>
      <c r="AT67" s="733"/>
      <c r="AU67" s="733"/>
      <c r="AV67" s="733"/>
      <c r="AW67" s="733"/>
      <c r="AX67" s="733"/>
      <c r="AY67" s="733"/>
      <c r="AZ67" s="733"/>
      <c r="BA67" s="733"/>
      <c r="BB67" s="733"/>
      <c r="BC67" s="733"/>
      <c r="BD67" s="733"/>
      <c r="BE67" s="733"/>
      <c r="BF67" s="733">
        <f t="shared" si="4"/>
        <v>1</v>
      </c>
      <c r="BG67" s="733"/>
      <c r="BH67" s="733"/>
      <c r="BI67" s="733"/>
      <c r="BJ67" s="733"/>
      <c r="BK67" s="733"/>
      <c r="BL67" s="733">
        <v>1</v>
      </c>
      <c r="BM67" s="733"/>
      <c r="BN67" s="733">
        <f>V67</f>
        <v>6</v>
      </c>
      <c r="BO67" s="733">
        <f t="shared" si="5"/>
        <v>2</v>
      </c>
      <c r="BP67" s="733"/>
      <c r="BQ67" s="733"/>
      <c r="BR67" s="733"/>
      <c r="BS67" s="733"/>
      <c r="BT67" s="733"/>
      <c r="BU67" s="733">
        <v>2</v>
      </c>
      <c r="BV67" s="733"/>
      <c r="BW67" s="733"/>
      <c r="BX67" s="733"/>
      <c r="BY67" s="733"/>
      <c r="BZ67" s="733">
        <v>6</v>
      </c>
      <c r="CA67" s="733"/>
      <c r="CB67" s="734"/>
      <c r="CC67" s="734"/>
      <c r="CD67" s="734"/>
      <c r="CE67" s="734"/>
      <c r="CF67" s="734"/>
      <c r="CG67" s="735"/>
      <c r="CH67" s="735"/>
      <c r="CI67" s="735"/>
      <c r="CJ67" s="735"/>
      <c r="CK67" s="735"/>
      <c r="CL67" s="735"/>
      <c r="CM67" s="735"/>
      <c r="CN67" s="735"/>
      <c r="CO67" s="735"/>
      <c r="CP67" s="735"/>
      <c r="CQ67" s="735"/>
      <c r="CR67" s="735"/>
      <c r="CS67" s="735"/>
      <c r="CT67" s="735"/>
      <c r="CU67" s="735"/>
      <c r="CV67" s="735"/>
      <c r="CW67" s="735"/>
      <c r="CX67" s="735"/>
      <c r="CY67" s="735"/>
      <c r="CZ67" s="735"/>
    </row>
    <row r="68" spans="1:104" s="736" customFormat="1" ht="24.6" customHeight="1">
      <c r="A68" s="731">
        <v>65</v>
      </c>
      <c r="B68" s="732" t="s">
        <v>782</v>
      </c>
      <c r="C68" s="732" t="s">
        <v>1055</v>
      </c>
      <c r="D68" s="732"/>
      <c r="E68" s="733"/>
      <c r="F68" s="733"/>
      <c r="G68" s="733"/>
      <c r="H68" s="733"/>
      <c r="I68" s="733"/>
      <c r="J68" s="733"/>
      <c r="K68" s="733"/>
      <c r="L68" s="733">
        <v>1</v>
      </c>
      <c r="M68" s="733"/>
      <c r="N68" s="733">
        <v>1</v>
      </c>
      <c r="O68" s="733"/>
      <c r="P68" s="733"/>
      <c r="Q68" s="733"/>
      <c r="R68" s="733">
        <v>1</v>
      </c>
      <c r="S68" s="733"/>
      <c r="T68" s="733"/>
      <c r="U68" s="733"/>
      <c r="V68" s="733"/>
      <c r="W68" s="733"/>
      <c r="X68" s="733"/>
      <c r="Y68" s="733">
        <v>3</v>
      </c>
      <c r="Z68" s="733">
        <v>1</v>
      </c>
      <c r="AA68" s="733"/>
      <c r="AB68" s="733"/>
      <c r="AC68" s="733"/>
      <c r="AD68" s="733"/>
      <c r="AE68" s="733"/>
      <c r="AF68" s="733"/>
      <c r="AG68" s="733"/>
      <c r="AH68" s="733"/>
      <c r="AI68" s="733"/>
      <c r="AJ68" s="733"/>
      <c r="AK68" s="733"/>
      <c r="AL68" s="733"/>
      <c r="AM68" s="733"/>
      <c r="AN68" s="733"/>
      <c r="AO68" s="733"/>
      <c r="AP68" s="733"/>
      <c r="AQ68" s="733"/>
      <c r="AR68" s="733"/>
      <c r="AS68" s="733"/>
      <c r="AT68" s="733"/>
      <c r="AU68" s="733"/>
      <c r="AV68" s="733"/>
      <c r="AW68" s="733"/>
      <c r="AX68" s="733"/>
      <c r="AY68" s="733"/>
      <c r="AZ68" s="733"/>
      <c r="BA68" s="733"/>
      <c r="BB68" s="733"/>
      <c r="BC68" s="733"/>
      <c r="BD68" s="733"/>
      <c r="BE68" s="733"/>
      <c r="BF68" s="733">
        <f t="shared" si="4"/>
        <v>1</v>
      </c>
      <c r="BG68" s="733"/>
      <c r="BH68" s="733"/>
      <c r="BI68" s="733"/>
      <c r="BJ68" s="733">
        <v>1</v>
      </c>
      <c r="BK68" s="733"/>
      <c r="BL68" s="733"/>
      <c r="BM68" s="733"/>
      <c r="BN68" s="733"/>
      <c r="BO68" s="733">
        <f t="shared" si="5"/>
        <v>3</v>
      </c>
      <c r="BP68" s="733"/>
      <c r="BQ68" s="733"/>
      <c r="BR68" s="733"/>
      <c r="BS68" s="733"/>
      <c r="BT68" s="733"/>
      <c r="BU68" s="733">
        <v>1</v>
      </c>
      <c r="BV68" s="733"/>
      <c r="BW68" s="733"/>
      <c r="BX68" s="733"/>
      <c r="BY68" s="733"/>
      <c r="BZ68" s="733"/>
      <c r="CA68" s="733"/>
      <c r="CB68" s="734"/>
      <c r="CC68" s="734"/>
      <c r="CD68" s="734"/>
      <c r="CE68" s="734"/>
      <c r="CF68" s="734"/>
      <c r="CG68" s="735"/>
      <c r="CH68" s="735"/>
      <c r="CI68" s="735"/>
      <c r="CJ68" s="735"/>
      <c r="CK68" s="735"/>
      <c r="CL68" s="735"/>
      <c r="CM68" s="735"/>
      <c r="CN68" s="735"/>
      <c r="CO68" s="735"/>
      <c r="CP68" s="735"/>
      <c r="CQ68" s="735"/>
      <c r="CR68" s="735"/>
      <c r="CS68" s="735"/>
      <c r="CT68" s="735"/>
      <c r="CU68" s="735"/>
      <c r="CV68" s="735"/>
      <c r="CW68" s="735"/>
      <c r="CX68" s="735"/>
      <c r="CY68" s="735"/>
      <c r="CZ68" s="735"/>
    </row>
    <row r="69" spans="1:104" s="736" customFormat="1" ht="24.6" customHeight="1">
      <c r="A69" s="731">
        <v>66</v>
      </c>
      <c r="B69" s="732" t="s">
        <v>783</v>
      </c>
      <c r="C69" s="732" t="s">
        <v>1063</v>
      </c>
      <c r="D69" s="732"/>
      <c r="E69" s="733"/>
      <c r="F69" s="733"/>
      <c r="G69" s="733"/>
      <c r="H69" s="733"/>
      <c r="I69" s="733"/>
      <c r="J69" s="733"/>
      <c r="K69" s="733"/>
      <c r="L69" s="733">
        <v>1</v>
      </c>
      <c r="M69" s="733"/>
      <c r="N69" s="733">
        <v>1</v>
      </c>
      <c r="O69" s="733"/>
      <c r="P69" s="733"/>
      <c r="Q69" s="733"/>
      <c r="R69" s="733"/>
      <c r="S69" s="733"/>
      <c r="T69" s="733">
        <v>1</v>
      </c>
      <c r="U69" s="733"/>
      <c r="V69" s="733">
        <v>6</v>
      </c>
      <c r="W69" s="733"/>
      <c r="X69" s="733"/>
      <c r="Y69" s="733">
        <v>2</v>
      </c>
      <c r="Z69" s="733">
        <v>2</v>
      </c>
      <c r="AA69" s="733"/>
      <c r="AB69" s="733"/>
      <c r="AC69" s="733"/>
      <c r="AD69" s="733"/>
      <c r="AE69" s="733"/>
      <c r="AF69" s="733">
        <v>6</v>
      </c>
      <c r="AG69" s="733"/>
      <c r="AH69" s="733"/>
      <c r="AI69" s="733"/>
      <c r="AJ69" s="733"/>
      <c r="AK69" s="733"/>
      <c r="AL69" s="733"/>
      <c r="AM69" s="733"/>
      <c r="AN69" s="733"/>
      <c r="AO69" s="733"/>
      <c r="AP69" s="733"/>
      <c r="AQ69" s="733"/>
      <c r="AR69" s="733"/>
      <c r="AS69" s="733"/>
      <c r="AT69" s="733"/>
      <c r="AU69" s="733"/>
      <c r="AV69" s="733"/>
      <c r="AW69" s="733"/>
      <c r="AX69" s="733"/>
      <c r="AY69" s="733"/>
      <c r="AZ69" s="733"/>
      <c r="BA69" s="733"/>
      <c r="BB69" s="733"/>
      <c r="BC69" s="733"/>
      <c r="BD69" s="733"/>
      <c r="BE69" s="733"/>
      <c r="BF69" s="733">
        <f t="shared" si="4"/>
        <v>1</v>
      </c>
      <c r="BG69" s="733"/>
      <c r="BH69" s="733"/>
      <c r="BI69" s="733"/>
      <c r="BJ69" s="733"/>
      <c r="BK69" s="733"/>
      <c r="BL69" s="733">
        <v>1</v>
      </c>
      <c r="BM69" s="733"/>
      <c r="BN69" s="733">
        <f>V69</f>
        <v>6</v>
      </c>
      <c r="BO69" s="733">
        <f t="shared" si="5"/>
        <v>2</v>
      </c>
      <c r="BP69" s="733"/>
      <c r="BQ69" s="733"/>
      <c r="BR69" s="733"/>
      <c r="BS69" s="733"/>
      <c r="BT69" s="733"/>
      <c r="BU69" s="733">
        <v>2</v>
      </c>
      <c r="BV69" s="733"/>
      <c r="BW69" s="733"/>
      <c r="BX69" s="733"/>
      <c r="BY69" s="733"/>
      <c r="BZ69" s="733">
        <v>6</v>
      </c>
      <c r="CA69" s="733"/>
      <c r="CB69" s="734"/>
      <c r="CC69" s="734"/>
      <c r="CD69" s="734"/>
      <c r="CE69" s="734"/>
      <c r="CF69" s="734"/>
      <c r="CG69" s="735"/>
      <c r="CH69" s="735"/>
      <c r="CI69" s="735"/>
      <c r="CJ69" s="735"/>
      <c r="CK69" s="735"/>
      <c r="CL69" s="735"/>
      <c r="CM69" s="735"/>
      <c r="CN69" s="735"/>
      <c r="CO69" s="735"/>
      <c r="CP69" s="735"/>
      <c r="CQ69" s="735"/>
      <c r="CR69" s="735"/>
      <c r="CS69" s="735"/>
      <c r="CT69" s="735"/>
      <c r="CU69" s="735"/>
      <c r="CV69" s="735"/>
      <c r="CW69" s="735"/>
      <c r="CX69" s="735"/>
      <c r="CY69" s="735"/>
      <c r="CZ69" s="735"/>
    </row>
    <row r="70" spans="1:104" s="736" customFormat="1" ht="24.6" customHeight="1">
      <c r="A70" s="731">
        <v>67</v>
      </c>
      <c r="B70" s="732" t="s">
        <v>784</v>
      </c>
      <c r="C70" s="732" t="s">
        <v>1064</v>
      </c>
      <c r="D70" s="732"/>
      <c r="E70" s="733"/>
      <c r="F70" s="733"/>
      <c r="G70" s="733"/>
      <c r="H70" s="733"/>
      <c r="I70" s="733"/>
      <c r="J70" s="733"/>
      <c r="K70" s="733">
        <v>2</v>
      </c>
      <c r="L70" s="733"/>
      <c r="M70" s="733">
        <v>2</v>
      </c>
      <c r="N70" s="733"/>
      <c r="O70" s="733">
        <v>1</v>
      </c>
      <c r="P70" s="733"/>
      <c r="Q70" s="733"/>
      <c r="R70" s="733"/>
      <c r="S70" s="733"/>
      <c r="T70" s="733"/>
      <c r="U70" s="733"/>
      <c r="V70" s="733">
        <v>6</v>
      </c>
      <c r="W70" s="733"/>
      <c r="X70" s="733"/>
      <c r="Y70" s="733">
        <v>4</v>
      </c>
      <c r="Z70" s="733"/>
      <c r="AA70" s="733"/>
      <c r="AB70" s="733"/>
      <c r="AC70" s="733"/>
      <c r="AD70" s="733"/>
      <c r="AE70" s="733"/>
      <c r="AF70" s="733">
        <v>6</v>
      </c>
      <c r="AG70" s="733">
        <v>2</v>
      </c>
      <c r="AH70" s="733"/>
      <c r="AI70" s="733"/>
      <c r="AJ70" s="733"/>
      <c r="AK70" s="733"/>
      <c r="AL70" s="733"/>
      <c r="AM70" s="733"/>
      <c r="AN70" s="733"/>
      <c r="AO70" s="733"/>
      <c r="AP70" s="733"/>
      <c r="AQ70" s="733"/>
      <c r="AR70" s="733"/>
      <c r="AS70" s="733"/>
      <c r="AT70" s="733"/>
      <c r="AU70" s="733"/>
      <c r="AV70" s="733"/>
      <c r="AW70" s="733"/>
      <c r="AX70" s="733"/>
      <c r="AY70" s="733"/>
      <c r="AZ70" s="733"/>
      <c r="BA70" s="733"/>
      <c r="BB70" s="733"/>
      <c r="BC70" s="733"/>
      <c r="BD70" s="733"/>
      <c r="BE70" s="733">
        <v>2</v>
      </c>
      <c r="BF70" s="733"/>
      <c r="BG70" s="733">
        <v>1</v>
      </c>
      <c r="BH70" s="733"/>
      <c r="BI70" s="733"/>
      <c r="BJ70" s="733"/>
      <c r="BK70" s="733"/>
      <c r="BL70" s="733"/>
      <c r="BM70" s="733"/>
      <c r="BN70" s="733">
        <f>V70</f>
        <v>6</v>
      </c>
      <c r="BO70" s="733">
        <f t="shared" si="5"/>
        <v>4</v>
      </c>
      <c r="BP70" s="733"/>
      <c r="BQ70" s="733"/>
      <c r="BR70" s="733"/>
      <c r="BS70" s="733"/>
      <c r="BT70" s="733"/>
      <c r="BU70" s="733"/>
      <c r="BV70" s="733"/>
      <c r="BW70" s="733"/>
      <c r="BX70" s="733"/>
      <c r="BY70" s="733"/>
      <c r="BZ70" s="733">
        <v>6</v>
      </c>
      <c r="CA70" s="733">
        <v>2</v>
      </c>
      <c r="CB70" s="734"/>
      <c r="CC70" s="734"/>
      <c r="CD70" s="734"/>
      <c r="CE70" s="734"/>
      <c r="CF70" s="734"/>
      <c r="CG70" s="735"/>
      <c r="CH70" s="735"/>
      <c r="CI70" s="735"/>
      <c r="CJ70" s="735"/>
      <c r="CK70" s="735"/>
      <c r="CL70" s="735"/>
      <c r="CM70" s="735"/>
      <c r="CN70" s="735"/>
      <c r="CO70" s="735"/>
      <c r="CP70" s="735"/>
      <c r="CQ70" s="735"/>
      <c r="CR70" s="735"/>
      <c r="CS70" s="735"/>
      <c r="CT70" s="735"/>
      <c r="CU70" s="735"/>
      <c r="CV70" s="735"/>
      <c r="CW70" s="735"/>
      <c r="CX70" s="735"/>
      <c r="CY70" s="735"/>
      <c r="CZ70" s="735"/>
    </row>
    <row r="71" spans="1:104" s="736" customFormat="1" ht="24.6" customHeight="1">
      <c r="A71" s="731">
        <v>68</v>
      </c>
      <c r="B71" s="732" t="s">
        <v>785</v>
      </c>
      <c r="C71" s="732" t="s">
        <v>1064</v>
      </c>
      <c r="D71" s="732"/>
      <c r="E71" s="733"/>
      <c r="F71" s="733"/>
      <c r="G71" s="733"/>
      <c r="H71" s="733"/>
      <c r="I71" s="733"/>
      <c r="J71" s="733"/>
      <c r="K71" s="733">
        <v>2</v>
      </c>
      <c r="L71" s="733"/>
      <c r="M71" s="733">
        <v>2</v>
      </c>
      <c r="N71" s="733"/>
      <c r="O71" s="733">
        <v>1</v>
      </c>
      <c r="P71" s="733"/>
      <c r="Q71" s="733"/>
      <c r="R71" s="733"/>
      <c r="S71" s="733"/>
      <c r="T71" s="733"/>
      <c r="U71" s="733"/>
      <c r="V71" s="733">
        <v>6</v>
      </c>
      <c r="W71" s="733"/>
      <c r="X71" s="733"/>
      <c r="Y71" s="733">
        <v>4</v>
      </c>
      <c r="Z71" s="733"/>
      <c r="AA71" s="733"/>
      <c r="AB71" s="733"/>
      <c r="AC71" s="733"/>
      <c r="AD71" s="733"/>
      <c r="AE71" s="733"/>
      <c r="AF71" s="733">
        <v>6</v>
      </c>
      <c r="AG71" s="733">
        <v>2</v>
      </c>
      <c r="AH71" s="733"/>
      <c r="AI71" s="733"/>
      <c r="AJ71" s="733"/>
      <c r="AK71" s="733"/>
      <c r="AL71" s="733"/>
      <c r="AM71" s="733"/>
      <c r="AN71" s="733"/>
      <c r="AO71" s="733"/>
      <c r="AP71" s="733"/>
      <c r="AQ71" s="733"/>
      <c r="AR71" s="733"/>
      <c r="AS71" s="733"/>
      <c r="AT71" s="733"/>
      <c r="AU71" s="733"/>
      <c r="AV71" s="733"/>
      <c r="AW71" s="733"/>
      <c r="AX71" s="733"/>
      <c r="AY71" s="733"/>
      <c r="AZ71" s="733"/>
      <c r="BA71" s="733"/>
      <c r="BB71" s="733"/>
      <c r="BC71" s="733"/>
      <c r="BD71" s="733"/>
      <c r="BE71" s="733">
        <v>2</v>
      </c>
      <c r="BF71" s="733"/>
      <c r="BG71" s="733">
        <v>1</v>
      </c>
      <c r="BH71" s="733"/>
      <c r="BI71" s="733"/>
      <c r="BJ71" s="733"/>
      <c r="BK71" s="733"/>
      <c r="BL71" s="733"/>
      <c r="BM71" s="733"/>
      <c r="BN71" s="733">
        <f>V71</f>
        <v>6</v>
      </c>
      <c r="BO71" s="733">
        <f t="shared" si="5"/>
        <v>4</v>
      </c>
      <c r="BP71" s="733"/>
      <c r="BQ71" s="733"/>
      <c r="BR71" s="733"/>
      <c r="BS71" s="733"/>
      <c r="BT71" s="733"/>
      <c r="BU71" s="733"/>
      <c r="BV71" s="733"/>
      <c r="BW71" s="733"/>
      <c r="BX71" s="733"/>
      <c r="BY71" s="733"/>
      <c r="BZ71" s="733">
        <v>6</v>
      </c>
      <c r="CA71" s="733">
        <v>2</v>
      </c>
      <c r="CB71" s="734"/>
      <c r="CC71" s="734"/>
      <c r="CD71" s="734"/>
      <c r="CE71" s="734"/>
      <c r="CF71" s="734"/>
      <c r="CG71" s="735"/>
      <c r="CH71" s="735"/>
      <c r="CI71" s="735"/>
      <c r="CJ71" s="735"/>
      <c r="CK71" s="735"/>
      <c r="CL71" s="735"/>
      <c r="CM71" s="735"/>
      <c r="CN71" s="735"/>
      <c r="CO71" s="735"/>
      <c r="CP71" s="735"/>
      <c r="CQ71" s="735"/>
      <c r="CR71" s="735"/>
      <c r="CS71" s="735"/>
      <c r="CT71" s="735"/>
      <c r="CU71" s="735"/>
      <c r="CV71" s="735"/>
      <c r="CW71" s="735"/>
      <c r="CX71" s="735"/>
      <c r="CY71" s="735"/>
      <c r="CZ71" s="735"/>
    </row>
    <row r="72" spans="1:104" s="736" customFormat="1" ht="24.6" customHeight="1">
      <c r="A72" s="731">
        <v>69</v>
      </c>
      <c r="B72" s="732" t="s">
        <v>786</v>
      </c>
      <c r="C72" s="732" t="s">
        <v>1056</v>
      </c>
      <c r="D72" s="732"/>
      <c r="E72" s="733"/>
      <c r="F72" s="733"/>
      <c r="G72" s="733"/>
      <c r="H72" s="733"/>
      <c r="I72" s="733"/>
      <c r="J72" s="733"/>
      <c r="K72" s="733"/>
      <c r="L72" s="733">
        <v>1</v>
      </c>
      <c r="M72" s="733"/>
      <c r="N72" s="733">
        <v>1</v>
      </c>
      <c r="O72" s="733"/>
      <c r="P72" s="733"/>
      <c r="Q72" s="733"/>
      <c r="R72" s="733"/>
      <c r="S72" s="733">
        <v>1</v>
      </c>
      <c r="T72" s="733"/>
      <c r="U72" s="733"/>
      <c r="V72" s="733"/>
      <c r="W72" s="733"/>
      <c r="X72" s="733"/>
      <c r="Y72" s="733">
        <v>6</v>
      </c>
      <c r="Z72" s="733">
        <v>1</v>
      </c>
      <c r="AA72" s="733"/>
      <c r="AB72" s="733"/>
      <c r="AC72" s="733"/>
      <c r="AD72" s="733"/>
      <c r="AE72" s="733"/>
      <c r="AF72" s="733"/>
      <c r="AG72" s="733"/>
      <c r="AH72" s="733"/>
      <c r="AI72" s="733"/>
      <c r="AJ72" s="733"/>
      <c r="AK72" s="733"/>
      <c r="AL72" s="733"/>
      <c r="AM72" s="733"/>
      <c r="AN72" s="733"/>
      <c r="AO72" s="733"/>
      <c r="AP72" s="733"/>
      <c r="AQ72" s="733"/>
      <c r="AR72" s="733"/>
      <c r="AS72" s="733"/>
      <c r="AT72" s="733"/>
      <c r="AU72" s="733"/>
      <c r="AV72" s="733"/>
      <c r="AW72" s="733"/>
      <c r="AX72" s="733"/>
      <c r="AY72" s="733"/>
      <c r="AZ72" s="733"/>
      <c r="BA72" s="733"/>
      <c r="BB72" s="733"/>
      <c r="BC72" s="733"/>
      <c r="BD72" s="733"/>
      <c r="BE72" s="733"/>
      <c r="BF72" s="733">
        <f t="shared" ref="BF72:BF81" si="6">L72</f>
        <v>1</v>
      </c>
      <c r="BG72" s="733"/>
      <c r="BH72" s="733"/>
      <c r="BI72" s="733"/>
      <c r="BJ72" s="733"/>
      <c r="BK72" s="733">
        <v>1</v>
      </c>
      <c r="BL72" s="733"/>
      <c r="BM72" s="733"/>
      <c r="BN72" s="733"/>
      <c r="BO72" s="733">
        <f t="shared" si="5"/>
        <v>6</v>
      </c>
      <c r="BP72" s="733"/>
      <c r="BQ72" s="733"/>
      <c r="BR72" s="733"/>
      <c r="BS72" s="733"/>
      <c r="BT72" s="733"/>
      <c r="BU72" s="733">
        <v>1</v>
      </c>
      <c r="BV72" s="733"/>
      <c r="BW72" s="733"/>
      <c r="BX72" s="733"/>
      <c r="BY72" s="733"/>
      <c r="BZ72" s="733"/>
      <c r="CA72" s="733"/>
      <c r="CB72" s="734"/>
      <c r="CC72" s="734"/>
      <c r="CD72" s="734"/>
      <c r="CE72" s="734"/>
      <c r="CF72" s="734"/>
      <c r="CG72" s="735"/>
      <c r="CH72" s="735"/>
      <c r="CI72" s="735"/>
      <c r="CJ72" s="735"/>
      <c r="CK72" s="735"/>
      <c r="CL72" s="735"/>
      <c r="CM72" s="735"/>
      <c r="CN72" s="735"/>
      <c r="CO72" s="735"/>
      <c r="CP72" s="735"/>
      <c r="CQ72" s="735"/>
      <c r="CR72" s="735"/>
      <c r="CS72" s="735"/>
      <c r="CT72" s="735"/>
      <c r="CU72" s="735"/>
      <c r="CV72" s="735"/>
      <c r="CW72" s="735"/>
      <c r="CX72" s="735"/>
      <c r="CY72" s="735"/>
      <c r="CZ72" s="735"/>
    </row>
    <row r="73" spans="1:104" s="736" customFormat="1" ht="24.6" customHeight="1">
      <c r="A73" s="731">
        <v>70</v>
      </c>
      <c r="B73" s="732" t="s">
        <v>787</v>
      </c>
      <c r="C73" s="732" t="s">
        <v>1055</v>
      </c>
      <c r="D73" s="732"/>
      <c r="E73" s="733"/>
      <c r="F73" s="733"/>
      <c r="G73" s="733"/>
      <c r="H73" s="733"/>
      <c r="I73" s="733"/>
      <c r="J73" s="733"/>
      <c r="K73" s="733"/>
      <c r="L73" s="733">
        <v>1</v>
      </c>
      <c r="M73" s="733"/>
      <c r="N73" s="733">
        <v>1</v>
      </c>
      <c r="O73" s="733"/>
      <c r="P73" s="733"/>
      <c r="Q73" s="733"/>
      <c r="R73" s="733">
        <v>1</v>
      </c>
      <c r="S73" s="733"/>
      <c r="T73" s="733"/>
      <c r="U73" s="733"/>
      <c r="V73" s="733"/>
      <c r="W73" s="733"/>
      <c r="X73" s="733"/>
      <c r="Y73" s="733">
        <v>3</v>
      </c>
      <c r="Z73" s="733">
        <v>1</v>
      </c>
      <c r="AA73" s="733"/>
      <c r="AB73" s="733"/>
      <c r="AC73" s="733"/>
      <c r="AD73" s="733"/>
      <c r="AE73" s="733"/>
      <c r="AF73" s="733"/>
      <c r="AG73" s="733"/>
      <c r="AH73" s="733"/>
      <c r="AI73" s="733"/>
      <c r="AJ73" s="733"/>
      <c r="AK73" s="733"/>
      <c r="AL73" s="733"/>
      <c r="AM73" s="733"/>
      <c r="AN73" s="733"/>
      <c r="AO73" s="733"/>
      <c r="AP73" s="733"/>
      <c r="AQ73" s="733"/>
      <c r="AR73" s="733"/>
      <c r="AS73" s="733"/>
      <c r="AT73" s="733"/>
      <c r="AU73" s="733"/>
      <c r="AV73" s="733"/>
      <c r="AW73" s="733"/>
      <c r="AX73" s="733"/>
      <c r="AY73" s="733"/>
      <c r="AZ73" s="733"/>
      <c r="BA73" s="733"/>
      <c r="BB73" s="733"/>
      <c r="BC73" s="733"/>
      <c r="BD73" s="733"/>
      <c r="BE73" s="733"/>
      <c r="BF73" s="733">
        <f t="shared" si="6"/>
        <v>1</v>
      </c>
      <c r="BG73" s="733"/>
      <c r="BH73" s="733"/>
      <c r="BI73" s="733"/>
      <c r="BJ73" s="733">
        <v>1</v>
      </c>
      <c r="BK73" s="733"/>
      <c r="BL73" s="733"/>
      <c r="BM73" s="733"/>
      <c r="BN73" s="733"/>
      <c r="BO73" s="733">
        <f t="shared" si="5"/>
        <v>3</v>
      </c>
      <c r="BP73" s="733"/>
      <c r="BQ73" s="733"/>
      <c r="BR73" s="733"/>
      <c r="BS73" s="733"/>
      <c r="BT73" s="733"/>
      <c r="BU73" s="733">
        <v>1</v>
      </c>
      <c r="BV73" s="733"/>
      <c r="BW73" s="733"/>
      <c r="BX73" s="733"/>
      <c r="BY73" s="733"/>
      <c r="BZ73" s="733"/>
      <c r="CA73" s="733"/>
      <c r="CB73" s="734"/>
      <c r="CC73" s="734"/>
      <c r="CD73" s="734"/>
      <c r="CE73" s="734"/>
      <c r="CF73" s="734"/>
      <c r="CG73" s="735"/>
      <c r="CH73" s="735"/>
      <c r="CI73" s="735"/>
      <c r="CJ73" s="735"/>
      <c r="CK73" s="735"/>
      <c r="CL73" s="735"/>
      <c r="CM73" s="735"/>
      <c r="CN73" s="735"/>
      <c r="CO73" s="735"/>
      <c r="CP73" s="735"/>
      <c r="CQ73" s="735"/>
      <c r="CR73" s="735"/>
      <c r="CS73" s="735"/>
      <c r="CT73" s="735"/>
      <c r="CU73" s="735"/>
      <c r="CV73" s="735"/>
      <c r="CW73" s="735"/>
      <c r="CX73" s="735"/>
      <c r="CY73" s="735"/>
      <c r="CZ73" s="735"/>
    </row>
    <row r="74" spans="1:104" s="736" customFormat="1" ht="24.6" customHeight="1">
      <c r="A74" s="731">
        <v>71</v>
      </c>
      <c r="B74" s="732" t="s">
        <v>788</v>
      </c>
      <c r="C74" s="732" t="s">
        <v>1055</v>
      </c>
      <c r="D74" s="732"/>
      <c r="E74" s="733"/>
      <c r="F74" s="733"/>
      <c r="G74" s="733"/>
      <c r="H74" s="733"/>
      <c r="I74" s="733"/>
      <c r="J74" s="733"/>
      <c r="K74" s="733"/>
      <c r="L74" s="733">
        <v>1</v>
      </c>
      <c r="M74" s="733"/>
      <c r="N74" s="733">
        <v>1</v>
      </c>
      <c r="O74" s="733"/>
      <c r="P74" s="733"/>
      <c r="Q74" s="733"/>
      <c r="R74" s="733">
        <v>1</v>
      </c>
      <c r="S74" s="733"/>
      <c r="T74" s="733"/>
      <c r="U74" s="733"/>
      <c r="V74" s="733"/>
      <c r="W74" s="733"/>
      <c r="X74" s="733"/>
      <c r="Y74" s="733">
        <v>3</v>
      </c>
      <c r="Z74" s="733">
        <v>1</v>
      </c>
      <c r="AA74" s="733"/>
      <c r="AB74" s="733"/>
      <c r="AC74" s="733"/>
      <c r="AD74" s="733"/>
      <c r="AE74" s="733"/>
      <c r="AF74" s="733"/>
      <c r="AG74" s="733"/>
      <c r="AH74" s="733"/>
      <c r="AI74" s="733"/>
      <c r="AJ74" s="733"/>
      <c r="AK74" s="733"/>
      <c r="AL74" s="733"/>
      <c r="AM74" s="733"/>
      <c r="AN74" s="733"/>
      <c r="AO74" s="733"/>
      <c r="AP74" s="733"/>
      <c r="AQ74" s="733"/>
      <c r="AR74" s="733"/>
      <c r="AS74" s="733"/>
      <c r="AT74" s="733"/>
      <c r="AU74" s="733"/>
      <c r="AV74" s="733"/>
      <c r="AW74" s="733"/>
      <c r="AX74" s="733"/>
      <c r="AY74" s="733"/>
      <c r="AZ74" s="733"/>
      <c r="BA74" s="733"/>
      <c r="BB74" s="733"/>
      <c r="BC74" s="733"/>
      <c r="BD74" s="733"/>
      <c r="BE74" s="733"/>
      <c r="BF74" s="733">
        <f t="shared" si="6"/>
        <v>1</v>
      </c>
      <c r="BG74" s="733"/>
      <c r="BH74" s="733"/>
      <c r="BI74" s="733"/>
      <c r="BJ74" s="733">
        <v>1</v>
      </c>
      <c r="BK74" s="733"/>
      <c r="BL74" s="733"/>
      <c r="BM74" s="733"/>
      <c r="BN74" s="733"/>
      <c r="BO74" s="733">
        <f t="shared" si="5"/>
        <v>3</v>
      </c>
      <c r="BP74" s="733"/>
      <c r="BQ74" s="733"/>
      <c r="BR74" s="733"/>
      <c r="BS74" s="733"/>
      <c r="BT74" s="733"/>
      <c r="BU74" s="733">
        <v>1</v>
      </c>
      <c r="BV74" s="733"/>
      <c r="BW74" s="733"/>
      <c r="BX74" s="733"/>
      <c r="BY74" s="733"/>
      <c r="BZ74" s="733"/>
      <c r="CA74" s="733"/>
      <c r="CB74" s="734"/>
      <c r="CC74" s="734"/>
      <c r="CD74" s="734"/>
      <c r="CE74" s="734"/>
      <c r="CF74" s="734"/>
      <c r="CG74" s="735"/>
      <c r="CH74" s="735"/>
      <c r="CI74" s="735"/>
      <c r="CJ74" s="735"/>
      <c r="CK74" s="735"/>
      <c r="CL74" s="735"/>
      <c r="CM74" s="735"/>
      <c r="CN74" s="735"/>
      <c r="CO74" s="735"/>
      <c r="CP74" s="735"/>
      <c r="CQ74" s="735"/>
      <c r="CR74" s="735"/>
      <c r="CS74" s="735"/>
      <c r="CT74" s="735"/>
      <c r="CU74" s="735"/>
      <c r="CV74" s="735"/>
      <c r="CW74" s="735"/>
      <c r="CX74" s="735"/>
      <c r="CY74" s="735"/>
      <c r="CZ74" s="735"/>
    </row>
    <row r="75" spans="1:104" s="736" customFormat="1" ht="24.6" customHeight="1">
      <c r="A75" s="731">
        <v>72</v>
      </c>
      <c r="B75" s="732" t="s">
        <v>789</v>
      </c>
      <c r="C75" s="732" t="s">
        <v>1055</v>
      </c>
      <c r="D75" s="732"/>
      <c r="E75" s="733"/>
      <c r="F75" s="733"/>
      <c r="G75" s="733"/>
      <c r="H75" s="733"/>
      <c r="I75" s="733"/>
      <c r="J75" s="733"/>
      <c r="K75" s="733"/>
      <c r="L75" s="733">
        <v>1</v>
      </c>
      <c r="M75" s="733"/>
      <c r="N75" s="733">
        <v>1</v>
      </c>
      <c r="O75" s="733"/>
      <c r="P75" s="733"/>
      <c r="Q75" s="733"/>
      <c r="R75" s="733">
        <v>1</v>
      </c>
      <c r="S75" s="733"/>
      <c r="T75" s="733"/>
      <c r="U75" s="733"/>
      <c r="V75" s="733"/>
      <c r="W75" s="733"/>
      <c r="X75" s="733"/>
      <c r="Y75" s="733">
        <v>3</v>
      </c>
      <c r="Z75" s="733">
        <v>1</v>
      </c>
      <c r="AA75" s="733"/>
      <c r="AB75" s="733"/>
      <c r="AC75" s="733"/>
      <c r="AD75" s="733"/>
      <c r="AE75" s="733"/>
      <c r="AF75" s="733"/>
      <c r="AG75" s="733"/>
      <c r="AH75" s="733"/>
      <c r="AI75" s="733"/>
      <c r="AJ75" s="733"/>
      <c r="AK75" s="733"/>
      <c r="AL75" s="733"/>
      <c r="AM75" s="733"/>
      <c r="AN75" s="733"/>
      <c r="AO75" s="733"/>
      <c r="AP75" s="733"/>
      <c r="AQ75" s="733"/>
      <c r="AR75" s="733"/>
      <c r="AS75" s="733"/>
      <c r="AT75" s="733"/>
      <c r="AU75" s="733"/>
      <c r="AV75" s="733"/>
      <c r="AW75" s="733"/>
      <c r="AX75" s="733"/>
      <c r="AY75" s="733"/>
      <c r="AZ75" s="733"/>
      <c r="BA75" s="733"/>
      <c r="BB75" s="733"/>
      <c r="BC75" s="733"/>
      <c r="BD75" s="733"/>
      <c r="BE75" s="733"/>
      <c r="BF75" s="733">
        <f t="shared" si="6"/>
        <v>1</v>
      </c>
      <c r="BG75" s="733"/>
      <c r="BH75" s="733"/>
      <c r="BI75" s="733"/>
      <c r="BJ75" s="733">
        <v>1</v>
      </c>
      <c r="BK75" s="733"/>
      <c r="BL75" s="733"/>
      <c r="BM75" s="733"/>
      <c r="BN75" s="733"/>
      <c r="BO75" s="733">
        <f t="shared" si="5"/>
        <v>3</v>
      </c>
      <c r="BP75" s="733"/>
      <c r="BQ75" s="733"/>
      <c r="BR75" s="733"/>
      <c r="BS75" s="733"/>
      <c r="BT75" s="733"/>
      <c r="BU75" s="733">
        <v>1</v>
      </c>
      <c r="BV75" s="733"/>
      <c r="BW75" s="733"/>
      <c r="BX75" s="733"/>
      <c r="BY75" s="733"/>
      <c r="BZ75" s="733"/>
      <c r="CA75" s="733"/>
      <c r="CB75" s="734"/>
      <c r="CC75" s="734"/>
      <c r="CD75" s="734"/>
      <c r="CE75" s="734"/>
      <c r="CF75" s="734"/>
      <c r="CG75" s="735"/>
      <c r="CH75" s="735"/>
      <c r="CI75" s="735"/>
      <c r="CJ75" s="735"/>
      <c r="CK75" s="735"/>
      <c r="CL75" s="735"/>
      <c r="CM75" s="735"/>
      <c r="CN75" s="735"/>
      <c r="CO75" s="735"/>
      <c r="CP75" s="735"/>
      <c r="CQ75" s="735"/>
      <c r="CR75" s="735"/>
      <c r="CS75" s="735"/>
      <c r="CT75" s="735"/>
      <c r="CU75" s="735"/>
      <c r="CV75" s="735"/>
      <c r="CW75" s="735"/>
      <c r="CX75" s="735"/>
      <c r="CY75" s="735"/>
      <c r="CZ75" s="735"/>
    </row>
    <row r="76" spans="1:104" s="736" customFormat="1" ht="24.6" customHeight="1">
      <c r="A76" s="731">
        <v>73</v>
      </c>
      <c r="B76" s="732" t="s">
        <v>790</v>
      </c>
      <c r="C76" s="732" t="s">
        <v>1056</v>
      </c>
      <c r="D76" s="732"/>
      <c r="E76" s="733"/>
      <c r="F76" s="733"/>
      <c r="G76" s="733"/>
      <c r="H76" s="733"/>
      <c r="I76" s="733"/>
      <c r="J76" s="733"/>
      <c r="K76" s="733"/>
      <c r="L76" s="733">
        <v>1</v>
      </c>
      <c r="M76" s="733"/>
      <c r="N76" s="733">
        <v>1</v>
      </c>
      <c r="O76" s="733"/>
      <c r="P76" s="733"/>
      <c r="Q76" s="733"/>
      <c r="R76" s="733"/>
      <c r="S76" s="733">
        <v>1</v>
      </c>
      <c r="T76" s="733"/>
      <c r="U76" s="733"/>
      <c r="V76" s="733"/>
      <c r="W76" s="733"/>
      <c r="X76" s="733"/>
      <c r="Y76" s="733">
        <v>6</v>
      </c>
      <c r="Z76" s="733">
        <v>1</v>
      </c>
      <c r="AA76" s="733"/>
      <c r="AB76" s="733"/>
      <c r="AC76" s="733"/>
      <c r="AD76" s="733"/>
      <c r="AE76" s="733"/>
      <c r="AF76" s="733"/>
      <c r="AG76" s="733"/>
      <c r="AH76" s="733"/>
      <c r="AI76" s="733"/>
      <c r="AJ76" s="733"/>
      <c r="AK76" s="733"/>
      <c r="AL76" s="733"/>
      <c r="AM76" s="733"/>
      <c r="AN76" s="733"/>
      <c r="AO76" s="733"/>
      <c r="AP76" s="733"/>
      <c r="AQ76" s="733"/>
      <c r="AR76" s="733"/>
      <c r="AS76" s="733"/>
      <c r="AT76" s="733"/>
      <c r="AU76" s="733"/>
      <c r="AV76" s="733"/>
      <c r="AW76" s="733"/>
      <c r="AX76" s="733"/>
      <c r="AY76" s="733"/>
      <c r="AZ76" s="733"/>
      <c r="BA76" s="733"/>
      <c r="BB76" s="733"/>
      <c r="BC76" s="733"/>
      <c r="BD76" s="733"/>
      <c r="BE76" s="733"/>
      <c r="BF76" s="733">
        <f t="shared" si="6"/>
        <v>1</v>
      </c>
      <c r="BG76" s="733"/>
      <c r="BH76" s="733"/>
      <c r="BI76" s="733"/>
      <c r="BJ76" s="733"/>
      <c r="BK76" s="733">
        <v>1</v>
      </c>
      <c r="BL76" s="733"/>
      <c r="BM76" s="733"/>
      <c r="BN76" s="733"/>
      <c r="BO76" s="733">
        <f t="shared" si="5"/>
        <v>6</v>
      </c>
      <c r="BP76" s="733"/>
      <c r="BQ76" s="733"/>
      <c r="BR76" s="733"/>
      <c r="BS76" s="733"/>
      <c r="BT76" s="733"/>
      <c r="BU76" s="733">
        <v>1</v>
      </c>
      <c r="BV76" s="733"/>
      <c r="BW76" s="733"/>
      <c r="BX76" s="733"/>
      <c r="BY76" s="733"/>
      <c r="BZ76" s="733"/>
      <c r="CA76" s="733"/>
      <c r="CB76" s="734"/>
      <c r="CC76" s="734"/>
      <c r="CD76" s="734"/>
      <c r="CE76" s="734"/>
      <c r="CF76" s="734"/>
      <c r="CG76" s="735"/>
      <c r="CH76" s="735"/>
      <c r="CI76" s="735"/>
      <c r="CJ76" s="735"/>
      <c r="CK76" s="735"/>
      <c r="CL76" s="735"/>
      <c r="CM76" s="735"/>
      <c r="CN76" s="735"/>
      <c r="CO76" s="735"/>
      <c r="CP76" s="735"/>
      <c r="CQ76" s="735"/>
      <c r="CR76" s="735"/>
      <c r="CS76" s="735"/>
      <c r="CT76" s="735"/>
      <c r="CU76" s="735"/>
      <c r="CV76" s="735"/>
      <c r="CW76" s="735"/>
      <c r="CX76" s="735"/>
      <c r="CY76" s="735"/>
      <c r="CZ76" s="735"/>
    </row>
    <row r="77" spans="1:104" s="736" customFormat="1" ht="24.6" customHeight="1">
      <c r="A77" s="731">
        <v>74</v>
      </c>
      <c r="B77" s="732" t="s">
        <v>791</v>
      </c>
      <c r="C77" s="732" t="s">
        <v>1055</v>
      </c>
      <c r="D77" s="732"/>
      <c r="E77" s="733"/>
      <c r="F77" s="733"/>
      <c r="G77" s="733"/>
      <c r="H77" s="733"/>
      <c r="I77" s="733"/>
      <c r="J77" s="733"/>
      <c r="K77" s="733"/>
      <c r="L77" s="733">
        <v>1</v>
      </c>
      <c r="M77" s="733"/>
      <c r="N77" s="733">
        <v>1</v>
      </c>
      <c r="O77" s="733"/>
      <c r="P77" s="733"/>
      <c r="Q77" s="733"/>
      <c r="R77" s="733">
        <v>1</v>
      </c>
      <c r="S77" s="733"/>
      <c r="T77" s="733"/>
      <c r="U77" s="733"/>
      <c r="V77" s="733"/>
      <c r="W77" s="733"/>
      <c r="X77" s="733"/>
      <c r="Y77" s="733">
        <v>3</v>
      </c>
      <c r="Z77" s="733">
        <v>1</v>
      </c>
      <c r="AA77" s="733"/>
      <c r="AB77" s="733"/>
      <c r="AC77" s="733"/>
      <c r="AD77" s="733"/>
      <c r="AE77" s="733"/>
      <c r="AF77" s="733"/>
      <c r="AG77" s="733"/>
      <c r="AH77" s="733"/>
      <c r="AI77" s="733"/>
      <c r="AJ77" s="733"/>
      <c r="AK77" s="733"/>
      <c r="AL77" s="733"/>
      <c r="AM77" s="733"/>
      <c r="AN77" s="733"/>
      <c r="AO77" s="733"/>
      <c r="AP77" s="733"/>
      <c r="AQ77" s="733"/>
      <c r="AR77" s="733"/>
      <c r="AS77" s="733"/>
      <c r="AT77" s="733"/>
      <c r="AU77" s="733"/>
      <c r="AV77" s="733"/>
      <c r="AW77" s="733"/>
      <c r="AX77" s="733"/>
      <c r="AY77" s="733"/>
      <c r="AZ77" s="733"/>
      <c r="BA77" s="733"/>
      <c r="BB77" s="733"/>
      <c r="BC77" s="733"/>
      <c r="BD77" s="733"/>
      <c r="BE77" s="733"/>
      <c r="BF77" s="733">
        <f t="shared" si="6"/>
        <v>1</v>
      </c>
      <c r="BG77" s="733"/>
      <c r="BH77" s="733"/>
      <c r="BI77" s="733"/>
      <c r="BJ77" s="733">
        <v>1</v>
      </c>
      <c r="BK77" s="733"/>
      <c r="BL77" s="733"/>
      <c r="BM77" s="733"/>
      <c r="BN77" s="733"/>
      <c r="BO77" s="733">
        <f t="shared" si="5"/>
        <v>3</v>
      </c>
      <c r="BP77" s="733"/>
      <c r="BQ77" s="733"/>
      <c r="BR77" s="733"/>
      <c r="BS77" s="733"/>
      <c r="BT77" s="733"/>
      <c r="BU77" s="733">
        <v>1</v>
      </c>
      <c r="BV77" s="733"/>
      <c r="BW77" s="733"/>
      <c r="BX77" s="733"/>
      <c r="BY77" s="733"/>
      <c r="BZ77" s="733"/>
      <c r="CA77" s="733"/>
      <c r="CB77" s="734"/>
      <c r="CC77" s="734"/>
      <c r="CD77" s="734"/>
      <c r="CE77" s="734"/>
      <c r="CF77" s="734"/>
      <c r="CG77" s="735"/>
      <c r="CH77" s="735"/>
      <c r="CI77" s="735"/>
      <c r="CJ77" s="735"/>
      <c r="CK77" s="735"/>
      <c r="CL77" s="735"/>
      <c r="CM77" s="735"/>
      <c r="CN77" s="735"/>
      <c r="CO77" s="735"/>
      <c r="CP77" s="735"/>
      <c r="CQ77" s="735"/>
      <c r="CR77" s="735"/>
      <c r="CS77" s="735"/>
      <c r="CT77" s="735"/>
      <c r="CU77" s="735"/>
      <c r="CV77" s="735"/>
      <c r="CW77" s="735"/>
      <c r="CX77" s="735"/>
      <c r="CY77" s="735"/>
      <c r="CZ77" s="735"/>
    </row>
    <row r="78" spans="1:104" s="736" customFormat="1" ht="24.6" customHeight="1">
      <c r="A78" s="731">
        <v>75</v>
      </c>
      <c r="B78" s="732" t="s">
        <v>792</v>
      </c>
      <c r="C78" s="732" t="s">
        <v>1055</v>
      </c>
      <c r="D78" s="732"/>
      <c r="E78" s="733"/>
      <c r="F78" s="733"/>
      <c r="G78" s="733"/>
      <c r="H78" s="733"/>
      <c r="I78" s="733"/>
      <c r="J78" s="733"/>
      <c r="K78" s="733"/>
      <c r="L78" s="733">
        <v>1</v>
      </c>
      <c r="M78" s="733"/>
      <c r="N78" s="733">
        <v>1</v>
      </c>
      <c r="O78" s="733"/>
      <c r="P78" s="733"/>
      <c r="Q78" s="733"/>
      <c r="R78" s="733">
        <v>1</v>
      </c>
      <c r="S78" s="733"/>
      <c r="T78" s="733"/>
      <c r="U78" s="733"/>
      <c r="V78" s="733"/>
      <c r="W78" s="733"/>
      <c r="X78" s="733"/>
      <c r="Y78" s="733">
        <v>3</v>
      </c>
      <c r="Z78" s="733">
        <v>1</v>
      </c>
      <c r="AA78" s="733"/>
      <c r="AB78" s="733"/>
      <c r="AC78" s="733"/>
      <c r="AD78" s="733"/>
      <c r="AE78" s="733"/>
      <c r="AF78" s="733"/>
      <c r="AG78" s="733"/>
      <c r="AH78" s="733"/>
      <c r="AI78" s="733"/>
      <c r="AJ78" s="733"/>
      <c r="AK78" s="733"/>
      <c r="AL78" s="733"/>
      <c r="AM78" s="733"/>
      <c r="AN78" s="733"/>
      <c r="AO78" s="733"/>
      <c r="AP78" s="733"/>
      <c r="AQ78" s="733"/>
      <c r="AR78" s="733"/>
      <c r="AS78" s="733"/>
      <c r="AT78" s="733"/>
      <c r="AU78" s="733"/>
      <c r="AV78" s="733"/>
      <c r="AW78" s="733"/>
      <c r="AX78" s="733"/>
      <c r="AY78" s="733"/>
      <c r="AZ78" s="733"/>
      <c r="BA78" s="733"/>
      <c r="BB78" s="733"/>
      <c r="BC78" s="733"/>
      <c r="BD78" s="733"/>
      <c r="BE78" s="733"/>
      <c r="BF78" s="733">
        <f t="shared" si="6"/>
        <v>1</v>
      </c>
      <c r="BG78" s="733"/>
      <c r="BH78" s="733"/>
      <c r="BI78" s="733"/>
      <c r="BJ78" s="733">
        <v>1</v>
      </c>
      <c r="BK78" s="733"/>
      <c r="BL78" s="733"/>
      <c r="BM78" s="733"/>
      <c r="BN78" s="733"/>
      <c r="BO78" s="733">
        <f t="shared" si="5"/>
        <v>3</v>
      </c>
      <c r="BP78" s="733"/>
      <c r="BQ78" s="733"/>
      <c r="BR78" s="733"/>
      <c r="BS78" s="733"/>
      <c r="BT78" s="733"/>
      <c r="BU78" s="733">
        <v>1</v>
      </c>
      <c r="BV78" s="733"/>
      <c r="BW78" s="733"/>
      <c r="BX78" s="733"/>
      <c r="BY78" s="733"/>
      <c r="BZ78" s="733"/>
      <c r="CA78" s="733"/>
      <c r="CB78" s="734"/>
      <c r="CC78" s="734"/>
      <c r="CD78" s="734"/>
      <c r="CE78" s="734"/>
      <c r="CF78" s="734"/>
      <c r="CG78" s="735"/>
      <c r="CH78" s="735"/>
      <c r="CI78" s="735"/>
      <c r="CJ78" s="735"/>
      <c r="CK78" s="735"/>
      <c r="CL78" s="735"/>
      <c r="CM78" s="735"/>
      <c r="CN78" s="735"/>
      <c r="CO78" s="735"/>
      <c r="CP78" s="735"/>
      <c r="CQ78" s="735"/>
      <c r="CR78" s="735"/>
      <c r="CS78" s="735"/>
      <c r="CT78" s="735"/>
      <c r="CU78" s="735"/>
      <c r="CV78" s="735"/>
      <c r="CW78" s="735"/>
      <c r="CX78" s="735"/>
      <c r="CY78" s="735"/>
      <c r="CZ78" s="735"/>
    </row>
    <row r="79" spans="1:104" s="736" customFormat="1" ht="24.6" customHeight="1">
      <c r="A79" s="731">
        <v>76</v>
      </c>
      <c r="B79" s="732" t="s">
        <v>793</v>
      </c>
      <c r="C79" s="732" t="s">
        <v>1055</v>
      </c>
      <c r="D79" s="732"/>
      <c r="E79" s="733"/>
      <c r="F79" s="733"/>
      <c r="G79" s="733"/>
      <c r="H79" s="733"/>
      <c r="I79" s="733"/>
      <c r="J79" s="733"/>
      <c r="K79" s="733"/>
      <c r="L79" s="733">
        <v>1</v>
      </c>
      <c r="M79" s="733"/>
      <c r="N79" s="733">
        <v>1</v>
      </c>
      <c r="O79" s="733"/>
      <c r="P79" s="733"/>
      <c r="Q79" s="733"/>
      <c r="R79" s="733">
        <v>1</v>
      </c>
      <c r="S79" s="733"/>
      <c r="T79" s="733"/>
      <c r="U79" s="733"/>
      <c r="V79" s="733"/>
      <c r="W79" s="733"/>
      <c r="X79" s="733"/>
      <c r="Y79" s="733">
        <v>3</v>
      </c>
      <c r="Z79" s="733">
        <v>1</v>
      </c>
      <c r="AA79" s="733"/>
      <c r="AB79" s="733"/>
      <c r="AC79" s="733"/>
      <c r="AD79" s="733"/>
      <c r="AE79" s="733"/>
      <c r="AF79" s="733"/>
      <c r="AG79" s="733"/>
      <c r="AH79" s="733"/>
      <c r="AI79" s="733"/>
      <c r="AJ79" s="733"/>
      <c r="AK79" s="733"/>
      <c r="AL79" s="733"/>
      <c r="AM79" s="733"/>
      <c r="AN79" s="733"/>
      <c r="AO79" s="733"/>
      <c r="AP79" s="733"/>
      <c r="AQ79" s="733"/>
      <c r="AR79" s="733"/>
      <c r="AS79" s="733"/>
      <c r="AT79" s="733"/>
      <c r="AU79" s="733"/>
      <c r="AV79" s="733"/>
      <c r="AW79" s="733"/>
      <c r="AX79" s="733"/>
      <c r="AY79" s="733"/>
      <c r="AZ79" s="733"/>
      <c r="BA79" s="733"/>
      <c r="BB79" s="733"/>
      <c r="BC79" s="733"/>
      <c r="BD79" s="733"/>
      <c r="BE79" s="733"/>
      <c r="BF79" s="733">
        <f t="shared" si="6"/>
        <v>1</v>
      </c>
      <c r="BG79" s="733"/>
      <c r="BH79" s="733"/>
      <c r="BI79" s="733"/>
      <c r="BJ79" s="733">
        <v>1</v>
      </c>
      <c r="BK79" s="733"/>
      <c r="BL79" s="733"/>
      <c r="BM79" s="733"/>
      <c r="BN79" s="733"/>
      <c r="BO79" s="733">
        <f t="shared" si="5"/>
        <v>3</v>
      </c>
      <c r="BP79" s="733"/>
      <c r="BQ79" s="733"/>
      <c r="BR79" s="733"/>
      <c r="BS79" s="733"/>
      <c r="BT79" s="733"/>
      <c r="BU79" s="733">
        <v>1</v>
      </c>
      <c r="BV79" s="733"/>
      <c r="BW79" s="733"/>
      <c r="BX79" s="733"/>
      <c r="BY79" s="733"/>
      <c r="BZ79" s="733"/>
      <c r="CA79" s="733"/>
      <c r="CB79" s="734"/>
      <c r="CC79" s="734"/>
      <c r="CD79" s="734"/>
      <c r="CE79" s="734"/>
      <c r="CF79" s="734"/>
      <c r="CG79" s="735"/>
      <c r="CH79" s="735"/>
      <c r="CI79" s="735"/>
      <c r="CJ79" s="735"/>
      <c r="CK79" s="735"/>
      <c r="CL79" s="735"/>
      <c r="CM79" s="735"/>
      <c r="CN79" s="735"/>
      <c r="CO79" s="735"/>
      <c r="CP79" s="735"/>
      <c r="CQ79" s="735"/>
      <c r="CR79" s="735"/>
      <c r="CS79" s="735"/>
      <c r="CT79" s="735"/>
      <c r="CU79" s="735"/>
      <c r="CV79" s="735"/>
      <c r="CW79" s="735"/>
      <c r="CX79" s="735"/>
      <c r="CY79" s="735"/>
      <c r="CZ79" s="735"/>
    </row>
    <row r="80" spans="1:104" s="736" customFormat="1" ht="24.6" customHeight="1">
      <c r="A80" s="731">
        <v>77</v>
      </c>
      <c r="B80" s="732" t="s">
        <v>794</v>
      </c>
      <c r="C80" s="732" t="s">
        <v>1055</v>
      </c>
      <c r="D80" s="732"/>
      <c r="E80" s="733"/>
      <c r="F80" s="733"/>
      <c r="G80" s="733"/>
      <c r="H80" s="733"/>
      <c r="I80" s="733"/>
      <c r="J80" s="733"/>
      <c r="K80" s="733"/>
      <c r="L80" s="733">
        <v>1</v>
      </c>
      <c r="M80" s="733"/>
      <c r="N80" s="733">
        <v>1</v>
      </c>
      <c r="O80" s="733"/>
      <c r="P80" s="733"/>
      <c r="Q80" s="733"/>
      <c r="R80" s="733">
        <v>1</v>
      </c>
      <c r="S80" s="733"/>
      <c r="T80" s="733"/>
      <c r="U80" s="733"/>
      <c r="V80" s="733"/>
      <c r="W80" s="733"/>
      <c r="X80" s="733"/>
      <c r="Y80" s="733">
        <v>3</v>
      </c>
      <c r="Z80" s="733">
        <v>1</v>
      </c>
      <c r="AA80" s="733"/>
      <c r="AB80" s="733"/>
      <c r="AC80" s="733"/>
      <c r="AD80" s="733"/>
      <c r="AE80" s="733"/>
      <c r="AF80" s="733"/>
      <c r="AG80" s="733"/>
      <c r="AH80" s="733"/>
      <c r="AI80" s="733"/>
      <c r="AJ80" s="733"/>
      <c r="AK80" s="733"/>
      <c r="AL80" s="733"/>
      <c r="AM80" s="733"/>
      <c r="AN80" s="733"/>
      <c r="AO80" s="733"/>
      <c r="AP80" s="733"/>
      <c r="AQ80" s="733"/>
      <c r="AR80" s="733"/>
      <c r="AS80" s="733"/>
      <c r="AT80" s="733"/>
      <c r="AU80" s="733"/>
      <c r="AV80" s="733"/>
      <c r="AW80" s="733"/>
      <c r="AX80" s="733"/>
      <c r="AY80" s="733"/>
      <c r="AZ80" s="733"/>
      <c r="BA80" s="733"/>
      <c r="BB80" s="733"/>
      <c r="BC80" s="733"/>
      <c r="BD80" s="733"/>
      <c r="BE80" s="733"/>
      <c r="BF80" s="733">
        <f t="shared" si="6"/>
        <v>1</v>
      </c>
      <c r="BG80" s="733"/>
      <c r="BH80" s="733"/>
      <c r="BI80" s="733"/>
      <c r="BJ80" s="733">
        <v>1</v>
      </c>
      <c r="BK80" s="733"/>
      <c r="BL80" s="733"/>
      <c r="BM80" s="733"/>
      <c r="BN80" s="733"/>
      <c r="BO80" s="733">
        <f t="shared" si="5"/>
        <v>3</v>
      </c>
      <c r="BP80" s="733"/>
      <c r="BQ80" s="733"/>
      <c r="BR80" s="733"/>
      <c r="BS80" s="733"/>
      <c r="BT80" s="733"/>
      <c r="BU80" s="733">
        <v>1</v>
      </c>
      <c r="BV80" s="733"/>
      <c r="BW80" s="733"/>
      <c r="BX80" s="733"/>
      <c r="BY80" s="733"/>
      <c r="BZ80" s="733"/>
      <c r="CA80" s="733"/>
      <c r="CB80" s="734"/>
      <c r="CC80" s="734"/>
      <c r="CD80" s="734"/>
      <c r="CE80" s="734"/>
      <c r="CF80" s="734"/>
      <c r="CG80" s="735"/>
      <c r="CH80" s="735"/>
      <c r="CI80" s="735"/>
      <c r="CJ80" s="735"/>
      <c r="CK80" s="735"/>
      <c r="CL80" s="735"/>
      <c r="CM80" s="735"/>
      <c r="CN80" s="735"/>
      <c r="CO80" s="735"/>
      <c r="CP80" s="735"/>
      <c r="CQ80" s="735"/>
      <c r="CR80" s="735"/>
      <c r="CS80" s="735"/>
      <c r="CT80" s="735"/>
      <c r="CU80" s="735"/>
      <c r="CV80" s="735"/>
      <c r="CW80" s="735"/>
      <c r="CX80" s="735"/>
      <c r="CY80" s="735"/>
      <c r="CZ80" s="735"/>
    </row>
    <row r="81" spans="1:104" s="736" customFormat="1" ht="24.6" customHeight="1">
      <c r="A81" s="731">
        <v>78</v>
      </c>
      <c r="B81" s="732" t="s">
        <v>795</v>
      </c>
      <c r="C81" s="732" t="s">
        <v>1055</v>
      </c>
      <c r="D81" s="732"/>
      <c r="E81" s="733"/>
      <c r="F81" s="733"/>
      <c r="G81" s="733"/>
      <c r="H81" s="733"/>
      <c r="I81" s="733"/>
      <c r="J81" s="733"/>
      <c r="K81" s="733"/>
      <c r="L81" s="733">
        <v>1</v>
      </c>
      <c r="M81" s="733"/>
      <c r="N81" s="733">
        <v>1</v>
      </c>
      <c r="O81" s="733"/>
      <c r="P81" s="733"/>
      <c r="Q81" s="733"/>
      <c r="R81" s="733">
        <v>1</v>
      </c>
      <c r="S81" s="733"/>
      <c r="T81" s="733"/>
      <c r="U81" s="733"/>
      <c r="V81" s="733"/>
      <c r="W81" s="733"/>
      <c r="X81" s="733"/>
      <c r="Y81" s="733">
        <v>3</v>
      </c>
      <c r="Z81" s="733">
        <v>1</v>
      </c>
      <c r="AA81" s="733"/>
      <c r="AB81" s="733"/>
      <c r="AC81" s="733"/>
      <c r="AD81" s="733"/>
      <c r="AE81" s="733"/>
      <c r="AF81" s="733"/>
      <c r="AG81" s="733"/>
      <c r="AH81" s="733"/>
      <c r="AI81" s="733"/>
      <c r="AJ81" s="733"/>
      <c r="AK81" s="733"/>
      <c r="AL81" s="733"/>
      <c r="AM81" s="733"/>
      <c r="AN81" s="733"/>
      <c r="AO81" s="733"/>
      <c r="AP81" s="733"/>
      <c r="AQ81" s="733"/>
      <c r="AR81" s="733"/>
      <c r="AS81" s="733"/>
      <c r="AT81" s="733"/>
      <c r="AU81" s="733"/>
      <c r="AV81" s="733"/>
      <c r="AW81" s="733"/>
      <c r="AX81" s="733"/>
      <c r="AY81" s="733"/>
      <c r="AZ81" s="733"/>
      <c r="BA81" s="733"/>
      <c r="BB81" s="733"/>
      <c r="BC81" s="733"/>
      <c r="BD81" s="733"/>
      <c r="BE81" s="733"/>
      <c r="BF81" s="733">
        <f t="shared" si="6"/>
        <v>1</v>
      </c>
      <c r="BG81" s="733"/>
      <c r="BH81" s="733"/>
      <c r="BI81" s="733"/>
      <c r="BJ81" s="733">
        <v>1</v>
      </c>
      <c r="BK81" s="733"/>
      <c r="BL81" s="733"/>
      <c r="BM81" s="733"/>
      <c r="BN81" s="733"/>
      <c r="BO81" s="733">
        <f t="shared" si="5"/>
        <v>3</v>
      </c>
      <c r="BP81" s="733"/>
      <c r="BQ81" s="733"/>
      <c r="BR81" s="733"/>
      <c r="BS81" s="733"/>
      <c r="BT81" s="733"/>
      <c r="BU81" s="733">
        <v>1</v>
      </c>
      <c r="BV81" s="733"/>
      <c r="BW81" s="733"/>
      <c r="BX81" s="733"/>
      <c r="BY81" s="733"/>
      <c r="BZ81" s="733"/>
      <c r="CA81" s="733"/>
      <c r="CB81" s="734"/>
      <c r="CC81" s="734"/>
      <c r="CD81" s="734"/>
      <c r="CE81" s="734"/>
      <c r="CF81" s="734"/>
      <c r="CG81" s="735"/>
      <c r="CH81" s="735"/>
      <c r="CI81" s="735"/>
      <c r="CJ81" s="735"/>
      <c r="CK81" s="735"/>
      <c r="CL81" s="735"/>
      <c r="CM81" s="735"/>
      <c r="CN81" s="735"/>
      <c r="CO81" s="735"/>
      <c r="CP81" s="735"/>
      <c r="CQ81" s="735"/>
      <c r="CR81" s="735"/>
      <c r="CS81" s="735"/>
      <c r="CT81" s="735"/>
      <c r="CU81" s="735"/>
      <c r="CV81" s="735"/>
      <c r="CW81" s="735"/>
      <c r="CX81" s="735"/>
      <c r="CY81" s="735"/>
      <c r="CZ81" s="735"/>
    </row>
    <row r="82" spans="1:104" s="730" customFormat="1" ht="24.6" customHeight="1">
      <c r="A82" s="725">
        <v>79</v>
      </c>
      <c r="B82" s="726" t="s">
        <v>806</v>
      </c>
      <c r="C82" s="726" t="s">
        <v>1065</v>
      </c>
      <c r="D82" s="726"/>
      <c r="E82" s="727"/>
      <c r="F82" s="727"/>
      <c r="G82" s="727"/>
      <c r="H82" s="727"/>
      <c r="I82" s="727"/>
      <c r="J82" s="727"/>
      <c r="K82" s="727"/>
      <c r="L82" s="727"/>
      <c r="M82" s="727"/>
      <c r="N82" s="727"/>
      <c r="O82" s="727"/>
      <c r="P82" s="727"/>
      <c r="Q82" s="727"/>
      <c r="R82" s="727"/>
      <c r="S82" s="727"/>
      <c r="T82" s="727"/>
      <c r="U82" s="727"/>
      <c r="V82" s="727"/>
      <c r="W82" s="727"/>
      <c r="X82" s="727"/>
      <c r="Y82" s="727">
        <v>6</v>
      </c>
      <c r="Z82" s="727"/>
      <c r="AA82" s="727"/>
      <c r="AB82" s="727"/>
      <c r="AC82" s="727"/>
      <c r="AD82" s="727"/>
      <c r="AE82" s="727"/>
      <c r="AF82" s="727"/>
      <c r="AG82" s="727"/>
      <c r="AH82" s="727"/>
      <c r="AI82" s="727"/>
      <c r="AJ82" s="727"/>
      <c r="AK82" s="727"/>
      <c r="AL82" s="727"/>
      <c r="AM82" s="727"/>
      <c r="AN82" s="727"/>
      <c r="AO82" s="727"/>
      <c r="AP82" s="727"/>
      <c r="AQ82" s="727"/>
      <c r="AR82" s="727"/>
      <c r="AS82" s="727"/>
      <c r="AT82" s="727"/>
      <c r="AU82" s="727"/>
      <c r="AV82" s="727"/>
      <c r="AW82" s="727"/>
      <c r="AX82" s="727"/>
      <c r="AY82" s="727"/>
      <c r="AZ82" s="727"/>
      <c r="BA82" s="727"/>
      <c r="BB82" s="727"/>
      <c r="BC82" s="727"/>
      <c r="BD82" s="727"/>
      <c r="BE82" s="727"/>
      <c r="BF82" s="727"/>
      <c r="BG82" s="727"/>
      <c r="BH82" s="727"/>
      <c r="BI82" s="727"/>
      <c r="BJ82" s="727"/>
      <c r="BK82" s="727"/>
      <c r="BL82" s="727"/>
      <c r="BM82" s="727"/>
      <c r="BN82" s="727"/>
      <c r="BO82" s="727">
        <f t="shared" si="5"/>
        <v>6</v>
      </c>
      <c r="BP82" s="727"/>
      <c r="BQ82" s="727"/>
      <c r="BR82" s="727"/>
      <c r="BS82" s="727"/>
      <c r="BT82" s="727"/>
      <c r="BU82" s="727"/>
      <c r="BV82" s="727"/>
      <c r="BW82" s="727"/>
      <c r="BX82" s="727"/>
      <c r="BY82" s="727"/>
      <c r="BZ82" s="727"/>
      <c r="CA82" s="727"/>
      <c r="CB82" s="728"/>
      <c r="CC82" s="728"/>
      <c r="CD82" s="728"/>
      <c r="CE82" s="728"/>
      <c r="CF82" s="728"/>
      <c r="CG82" s="729"/>
      <c r="CH82" s="729"/>
      <c r="CI82" s="729"/>
      <c r="CJ82" s="729"/>
      <c r="CK82" s="729"/>
      <c r="CL82" s="729"/>
      <c r="CM82" s="729"/>
      <c r="CN82" s="729"/>
      <c r="CO82" s="729"/>
      <c r="CP82" s="729"/>
      <c r="CQ82" s="729"/>
      <c r="CR82" s="729"/>
      <c r="CS82" s="729"/>
      <c r="CT82" s="729"/>
      <c r="CU82" s="729"/>
      <c r="CV82" s="729"/>
      <c r="CW82" s="729"/>
      <c r="CX82" s="729"/>
      <c r="CY82" s="729"/>
      <c r="CZ82" s="729"/>
    </row>
    <row r="83" spans="1:104" s="730" customFormat="1" ht="24.6" customHeight="1">
      <c r="A83" s="725">
        <v>80</v>
      </c>
      <c r="B83" s="726" t="s">
        <v>807</v>
      </c>
      <c r="C83" s="726" t="s">
        <v>1056</v>
      </c>
      <c r="D83" s="726"/>
      <c r="E83" s="727"/>
      <c r="F83" s="727"/>
      <c r="G83" s="727"/>
      <c r="H83" s="727"/>
      <c r="I83" s="727"/>
      <c r="J83" s="727"/>
      <c r="K83" s="727"/>
      <c r="L83" s="727"/>
      <c r="M83" s="727"/>
      <c r="N83" s="727"/>
      <c r="O83" s="727"/>
      <c r="P83" s="727"/>
      <c r="Q83" s="727"/>
      <c r="R83" s="727"/>
      <c r="S83" s="727"/>
      <c r="T83" s="727"/>
      <c r="U83" s="727"/>
      <c r="V83" s="727"/>
      <c r="W83" s="727"/>
      <c r="X83" s="727"/>
      <c r="Y83" s="727">
        <v>6</v>
      </c>
      <c r="Z83" s="727"/>
      <c r="AA83" s="727"/>
      <c r="AB83" s="727"/>
      <c r="AC83" s="727"/>
      <c r="AD83" s="727"/>
      <c r="AE83" s="727"/>
      <c r="AF83" s="727"/>
      <c r="AG83" s="727"/>
      <c r="AH83" s="727"/>
      <c r="AI83" s="727"/>
      <c r="AJ83" s="727"/>
      <c r="AK83" s="727"/>
      <c r="AL83" s="727"/>
      <c r="AM83" s="727"/>
      <c r="AN83" s="727"/>
      <c r="AO83" s="727"/>
      <c r="AP83" s="727"/>
      <c r="AQ83" s="727"/>
      <c r="AR83" s="727"/>
      <c r="AS83" s="727"/>
      <c r="AT83" s="727"/>
      <c r="AU83" s="727"/>
      <c r="AV83" s="727"/>
      <c r="AW83" s="727"/>
      <c r="AX83" s="727"/>
      <c r="AY83" s="727"/>
      <c r="AZ83" s="727"/>
      <c r="BA83" s="727"/>
      <c r="BB83" s="727"/>
      <c r="BC83" s="727"/>
      <c r="BD83" s="727"/>
      <c r="BE83" s="727"/>
      <c r="BF83" s="727"/>
      <c r="BG83" s="727"/>
      <c r="BH83" s="727"/>
      <c r="BI83" s="727"/>
      <c r="BJ83" s="727"/>
      <c r="BK83" s="727"/>
      <c r="BL83" s="727"/>
      <c r="BM83" s="727"/>
      <c r="BN83" s="727"/>
      <c r="BO83" s="727">
        <f t="shared" si="5"/>
        <v>6</v>
      </c>
      <c r="BP83" s="727"/>
      <c r="BQ83" s="727"/>
      <c r="BR83" s="727"/>
      <c r="BS83" s="727"/>
      <c r="BT83" s="727"/>
      <c r="BU83" s="727"/>
      <c r="BV83" s="727"/>
      <c r="BW83" s="727"/>
      <c r="BX83" s="727"/>
      <c r="BY83" s="727"/>
      <c r="BZ83" s="727"/>
      <c r="CA83" s="727"/>
      <c r="CB83" s="728"/>
      <c r="CC83" s="728"/>
      <c r="CD83" s="728"/>
      <c r="CE83" s="728"/>
      <c r="CF83" s="728"/>
      <c r="CG83" s="729"/>
      <c r="CH83" s="729"/>
      <c r="CI83" s="729"/>
      <c r="CJ83" s="729"/>
      <c r="CK83" s="729"/>
      <c r="CL83" s="729"/>
      <c r="CM83" s="729"/>
      <c r="CN83" s="729"/>
      <c r="CO83" s="729"/>
      <c r="CP83" s="729"/>
      <c r="CQ83" s="729"/>
      <c r="CR83" s="729"/>
      <c r="CS83" s="729"/>
      <c r="CT83" s="729"/>
      <c r="CU83" s="729"/>
      <c r="CV83" s="729"/>
      <c r="CW83" s="729"/>
      <c r="CX83" s="729"/>
      <c r="CY83" s="729"/>
      <c r="CZ83" s="729"/>
    </row>
    <row r="84" spans="1:104" s="730" customFormat="1" ht="24.6" customHeight="1">
      <c r="A84" s="725">
        <v>81</v>
      </c>
      <c r="B84" s="726" t="s">
        <v>808</v>
      </c>
      <c r="C84" s="726" t="s">
        <v>1055</v>
      </c>
      <c r="D84" s="726"/>
      <c r="E84" s="727"/>
      <c r="F84" s="727"/>
      <c r="G84" s="727"/>
      <c r="H84" s="727"/>
      <c r="I84" s="727"/>
      <c r="J84" s="727"/>
      <c r="K84" s="727"/>
      <c r="L84" s="727"/>
      <c r="M84" s="727"/>
      <c r="N84" s="727"/>
      <c r="O84" s="727"/>
      <c r="P84" s="727"/>
      <c r="Q84" s="727"/>
      <c r="R84" s="727">
        <v>1</v>
      </c>
      <c r="S84" s="727"/>
      <c r="T84" s="727"/>
      <c r="U84" s="727"/>
      <c r="V84" s="727"/>
      <c r="W84" s="727"/>
      <c r="X84" s="727"/>
      <c r="Y84" s="727">
        <v>3</v>
      </c>
      <c r="Z84" s="727">
        <v>1</v>
      </c>
      <c r="AA84" s="727"/>
      <c r="AB84" s="727"/>
      <c r="AC84" s="727"/>
      <c r="AD84" s="727"/>
      <c r="AE84" s="727"/>
      <c r="AF84" s="727"/>
      <c r="AG84" s="727"/>
      <c r="AH84" s="727"/>
      <c r="AI84" s="727"/>
      <c r="AJ84" s="727"/>
      <c r="AK84" s="727"/>
      <c r="AL84" s="727"/>
      <c r="AM84" s="727"/>
      <c r="AN84" s="727"/>
      <c r="AO84" s="727"/>
      <c r="AP84" s="727"/>
      <c r="AQ84" s="727"/>
      <c r="AR84" s="727"/>
      <c r="AS84" s="727"/>
      <c r="AT84" s="727"/>
      <c r="AU84" s="727"/>
      <c r="AV84" s="727"/>
      <c r="AW84" s="727"/>
      <c r="AX84" s="727"/>
      <c r="AY84" s="727"/>
      <c r="AZ84" s="727"/>
      <c r="BA84" s="727"/>
      <c r="BB84" s="727"/>
      <c r="BC84" s="727"/>
      <c r="BD84" s="727"/>
      <c r="BE84" s="727"/>
      <c r="BF84" s="727"/>
      <c r="BG84" s="727"/>
      <c r="BH84" s="727"/>
      <c r="BI84" s="727"/>
      <c r="BJ84" s="727">
        <v>1</v>
      </c>
      <c r="BK84" s="727"/>
      <c r="BL84" s="727"/>
      <c r="BM84" s="727"/>
      <c r="BN84" s="727"/>
      <c r="BO84" s="727">
        <f t="shared" si="5"/>
        <v>3</v>
      </c>
      <c r="BP84" s="727"/>
      <c r="BQ84" s="727"/>
      <c r="BR84" s="727"/>
      <c r="BS84" s="727"/>
      <c r="BT84" s="727"/>
      <c r="BU84" s="727">
        <v>1</v>
      </c>
      <c r="BV84" s="727"/>
      <c r="BW84" s="727"/>
      <c r="BX84" s="727"/>
      <c r="BY84" s="727"/>
      <c r="BZ84" s="727"/>
      <c r="CA84" s="727"/>
      <c r="CB84" s="728"/>
      <c r="CC84" s="728"/>
      <c r="CD84" s="728"/>
      <c r="CE84" s="728"/>
      <c r="CF84" s="728"/>
      <c r="CG84" s="729"/>
      <c r="CH84" s="729"/>
      <c r="CI84" s="729"/>
      <c r="CJ84" s="729"/>
      <c r="CK84" s="729"/>
      <c r="CL84" s="729"/>
      <c r="CM84" s="729"/>
      <c r="CN84" s="729"/>
      <c r="CO84" s="729"/>
      <c r="CP84" s="729"/>
      <c r="CQ84" s="729"/>
      <c r="CR84" s="729"/>
      <c r="CS84" s="729"/>
      <c r="CT84" s="729"/>
      <c r="CU84" s="729"/>
      <c r="CV84" s="729"/>
      <c r="CW84" s="729"/>
      <c r="CX84" s="729"/>
      <c r="CY84" s="729"/>
      <c r="CZ84" s="729"/>
    </row>
    <row r="85" spans="1:104" s="730" customFormat="1" ht="24.6" customHeight="1">
      <c r="A85" s="725">
        <v>82</v>
      </c>
      <c r="B85" s="726" t="s">
        <v>809</v>
      </c>
      <c r="C85" s="726" t="s">
        <v>1055</v>
      </c>
      <c r="D85" s="726"/>
      <c r="E85" s="727"/>
      <c r="F85" s="727"/>
      <c r="G85" s="727"/>
      <c r="H85" s="727"/>
      <c r="I85" s="727"/>
      <c r="J85" s="727"/>
      <c r="K85" s="727"/>
      <c r="L85" s="727"/>
      <c r="M85" s="727"/>
      <c r="N85" s="727"/>
      <c r="O85" s="727"/>
      <c r="P85" s="727"/>
      <c r="Q85" s="727"/>
      <c r="R85" s="727">
        <v>1</v>
      </c>
      <c r="S85" s="727"/>
      <c r="T85" s="727"/>
      <c r="U85" s="727"/>
      <c r="V85" s="727"/>
      <c r="W85" s="727"/>
      <c r="X85" s="727"/>
      <c r="Y85" s="727">
        <v>3</v>
      </c>
      <c r="Z85" s="727">
        <v>1</v>
      </c>
      <c r="AA85" s="727"/>
      <c r="AB85" s="727"/>
      <c r="AC85" s="727"/>
      <c r="AD85" s="727"/>
      <c r="AE85" s="727"/>
      <c r="AF85" s="727"/>
      <c r="AG85" s="727"/>
      <c r="AH85" s="727"/>
      <c r="AI85" s="727"/>
      <c r="AJ85" s="727"/>
      <c r="AK85" s="727"/>
      <c r="AL85" s="727"/>
      <c r="AM85" s="727"/>
      <c r="AN85" s="727"/>
      <c r="AO85" s="727"/>
      <c r="AP85" s="727"/>
      <c r="AQ85" s="727"/>
      <c r="AR85" s="727"/>
      <c r="AS85" s="727"/>
      <c r="AT85" s="727"/>
      <c r="AU85" s="727"/>
      <c r="AV85" s="727"/>
      <c r="AW85" s="727"/>
      <c r="AX85" s="727"/>
      <c r="AY85" s="727"/>
      <c r="AZ85" s="727"/>
      <c r="BA85" s="727"/>
      <c r="BB85" s="727"/>
      <c r="BC85" s="727"/>
      <c r="BD85" s="727"/>
      <c r="BE85" s="727"/>
      <c r="BF85" s="727"/>
      <c r="BG85" s="727"/>
      <c r="BH85" s="727"/>
      <c r="BI85" s="727"/>
      <c r="BJ85" s="727">
        <v>1</v>
      </c>
      <c r="BK85" s="727"/>
      <c r="BL85" s="727"/>
      <c r="BM85" s="727"/>
      <c r="BN85" s="727"/>
      <c r="BO85" s="727">
        <f t="shared" si="5"/>
        <v>3</v>
      </c>
      <c r="BP85" s="727"/>
      <c r="BQ85" s="727"/>
      <c r="BR85" s="727"/>
      <c r="BS85" s="727"/>
      <c r="BT85" s="727"/>
      <c r="BU85" s="727">
        <v>1</v>
      </c>
      <c r="BV85" s="727"/>
      <c r="BW85" s="727"/>
      <c r="BX85" s="727"/>
      <c r="BY85" s="727"/>
      <c r="BZ85" s="727"/>
      <c r="CA85" s="727"/>
      <c r="CB85" s="728"/>
      <c r="CC85" s="728"/>
      <c r="CD85" s="728"/>
      <c r="CE85" s="728"/>
      <c r="CF85" s="728"/>
      <c r="CG85" s="729"/>
      <c r="CH85" s="729"/>
      <c r="CI85" s="729"/>
      <c r="CJ85" s="729"/>
      <c r="CK85" s="729"/>
      <c r="CL85" s="729"/>
      <c r="CM85" s="729"/>
      <c r="CN85" s="729"/>
      <c r="CO85" s="729"/>
      <c r="CP85" s="729"/>
      <c r="CQ85" s="729"/>
      <c r="CR85" s="729"/>
      <c r="CS85" s="729"/>
      <c r="CT85" s="729"/>
      <c r="CU85" s="729"/>
      <c r="CV85" s="729"/>
      <c r="CW85" s="729"/>
      <c r="CX85" s="729"/>
      <c r="CY85" s="729"/>
      <c r="CZ85" s="729"/>
    </row>
    <row r="86" spans="1:104" s="730" customFormat="1" ht="24.6" customHeight="1">
      <c r="A86" s="725">
        <v>83</v>
      </c>
      <c r="B86" s="726" t="s">
        <v>810</v>
      </c>
      <c r="C86" s="726" t="s">
        <v>1055</v>
      </c>
      <c r="D86" s="726"/>
      <c r="E86" s="727"/>
      <c r="F86" s="727"/>
      <c r="G86" s="727"/>
      <c r="H86" s="727"/>
      <c r="I86" s="727"/>
      <c r="J86" s="727"/>
      <c r="K86" s="727"/>
      <c r="L86" s="727"/>
      <c r="M86" s="727"/>
      <c r="N86" s="727"/>
      <c r="O86" s="727"/>
      <c r="P86" s="727"/>
      <c r="Q86" s="727"/>
      <c r="R86" s="727">
        <v>1</v>
      </c>
      <c r="S86" s="727"/>
      <c r="T86" s="727"/>
      <c r="U86" s="727"/>
      <c r="V86" s="727"/>
      <c r="W86" s="727"/>
      <c r="X86" s="727"/>
      <c r="Y86" s="727">
        <v>3</v>
      </c>
      <c r="Z86" s="727">
        <v>1</v>
      </c>
      <c r="AA86" s="727"/>
      <c r="AB86" s="727"/>
      <c r="AC86" s="727"/>
      <c r="AD86" s="727"/>
      <c r="AE86" s="727"/>
      <c r="AF86" s="727"/>
      <c r="AG86" s="727"/>
      <c r="AH86" s="727"/>
      <c r="AI86" s="727"/>
      <c r="AJ86" s="727"/>
      <c r="AK86" s="727"/>
      <c r="AL86" s="727"/>
      <c r="AM86" s="727"/>
      <c r="AN86" s="727"/>
      <c r="AO86" s="727"/>
      <c r="AP86" s="727"/>
      <c r="AQ86" s="727"/>
      <c r="AR86" s="727"/>
      <c r="AS86" s="727"/>
      <c r="AT86" s="727"/>
      <c r="AU86" s="727"/>
      <c r="AV86" s="727"/>
      <c r="AW86" s="727"/>
      <c r="AX86" s="727"/>
      <c r="AY86" s="727"/>
      <c r="AZ86" s="727"/>
      <c r="BA86" s="727"/>
      <c r="BB86" s="727"/>
      <c r="BC86" s="727"/>
      <c r="BD86" s="727"/>
      <c r="BE86" s="727"/>
      <c r="BF86" s="727"/>
      <c r="BG86" s="727"/>
      <c r="BH86" s="727"/>
      <c r="BI86" s="727"/>
      <c r="BJ86" s="727">
        <v>1</v>
      </c>
      <c r="BK86" s="727"/>
      <c r="BL86" s="727"/>
      <c r="BM86" s="727"/>
      <c r="BN86" s="727"/>
      <c r="BO86" s="727">
        <f t="shared" si="5"/>
        <v>3</v>
      </c>
      <c r="BP86" s="727"/>
      <c r="BQ86" s="727"/>
      <c r="BR86" s="727"/>
      <c r="BS86" s="727"/>
      <c r="BT86" s="727"/>
      <c r="BU86" s="727">
        <v>1</v>
      </c>
      <c r="BV86" s="727"/>
      <c r="BW86" s="727"/>
      <c r="BX86" s="727"/>
      <c r="BY86" s="727"/>
      <c r="BZ86" s="727"/>
      <c r="CA86" s="727"/>
      <c r="CB86" s="728"/>
      <c r="CC86" s="728"/>
      <c r="CD86" s="728"/>
      <c r="CE86" s="728"/>
      <c r="CF86" s="728"/>
      <c r="CG86" s="729"/>
      <c r="CH86" s="729"/>
      <c r="CI86" s="729"/>
      <c r="CJ86" s="729"/>
      <c r="CK86" s="729"/>
      <c r="CL86" s="729"/>
      <c r="CM86" s="729"/>
      <c r="CN86" s="729"/>
      <c r="CO86" s="729"/>
      <c r="CP86" s="729"/>
      <c r="CQ86" s="729"/>
      <c r="CR86" s="729"/>
      <c r="CS86" s="729"/>
      <c r="CT86" s="729"/>
      <c r="CU86" s="729"/>
      <c r="CV86" s="729"/>
      <c r="CW86" s="729"/>
      <c r="CX86" s="729"/>
      <c r="CY86" s="729"/>
      <c r="CZ86" s="729"/>
    </row>
    <row r="87" spans="1:104" s="730" customFormat="1" ht="24.6" customHeight="1">
      <c r="A87" s="725">
        <v>84</v>
      </c>
      <c r="B87" s="726" t="s">
        <v>811</v>
      </c>
      <c r="C87" s="726" t="s">
        <v>1055</v>
      </c>
      <c r="D87" s="726"/>
      <c r="E87" s="727"/>
      <c r="F87" s="727"/>
      <c r="G87" s="727"/>
      <c r="H87" s="727"/>
      <c r="I87" s="727"/>
      <c r="J87" s="727"/>
      <c r="K87" s="727"/>
      <c r="L87" s="727"/>
      <c r="M87" s="727"/>
      <c r="N87" s="727"/>
      <c r="O87" s="727"/>
      <c r="P87" s="727"/>
      <c r="Q87" s="727"/>
      <c r="R87" s="727">
        <v>1</v>
      </c>
      <c r="S87" s="727"/>
      <c r="T87" s="727"/>
      <c r="U87" s="727"/>
      <c r="V87" s="727"/>
      <c r="W87" s="727"/>
      <c r="X87" s="727"/>
      <c r="Y87" s="727">
        <v>3</v>
      </c>
      <c r="Z87" s="727">
        <v>1</v>
      </c>
      <c r="AA87" s="727"/>
      <c r="AB87" s="727"/>
      <c r="AC87" s="727"/>
      <c r="AD87" s="727"/>
      <c r="AE87" s="727"/>
      <c r="AF87" s="727"/>
      <c r="AG87" s="727"/>
      <c r="AH87" s="727"/>
      <c r="AI87" s="727"/>
      <c r="AJ87" s="727"/>
      <c r="AK87" s="727"/>
      <c r="AL87" s="727"/>
      <c r="AM87" s="727"/>
      <c r="AN87" s="727"/>
      <c r="AO87" s="727"/>
      <c r="AP87" s="727"/>
      <c r="AQ87" s="727"/>
      <c r="AR87" s="727"/>
      <c r="AS87" s="727"/>
      <c r="AT87" s="727"/>
      <c r="AU87" s="727"/>
      <c r="AV87" s="727"/>
      <c r="AW87" s="727"/>
      <c r="AX87" s="727"/>
      <c r="AY87" s="727"/>
      <c r="AZ87" s="727"/>
      <c r="BA87" s="727"/>
      <c r="BB87" s="727"/>
      <c r="BC87" s="727"/>
      <c r="BD87" s="727"/>
      <c r="BE87" s="727"/>
      <c r="BF87" s="727"/>
      <c r="BG87" s="727"/>
      <c r="BH87" s="727"/>
      <c r="BI87" s="727"/>
      <c r="BJ87" s="727">
        <v>1</v>
      </c>
      <c r="BK87" s="727"/>
      <c r="BL87" s="727"/>
      <c r="BM87" s="727"/>
      <c r="BN87" s="727"/>
      <c r="BO87" s="727">
        <f t="shared" si="5"/>
        <v>3</v>
      </c>
      <c r="BP87" s="727"/>
      <c r="BQ87" s="727"/>
      <c r="BR87" s="727"/>
      <c r="BS87" s="727"/>
      <c r="BT87" s="727"/>
      <c r="BU87" s="727">
        <v>1</v>
      </c>
      <c r="BV87" s="727"/>
      <c r="BW87" s="727"/>
      <c r="BX87" s="727"/>
      <c r="BY87" s="727"/>
      <c r="BZ87" s="727"/>
      <c r="CA87" s="727"/>
      <c r="CB87" s="728"/>
      <c r="CC87" s="728"/>
      <c r="CD87" s="728"/>
      <c r="CE87" s="728"/>
      <c r="CF87" s="728"/>
      <c r="CG87" s="729"/>
      <c r="CH87" s="729"/>
      <c r="CI87" s="729"/>
      <c r="CJ87" s="729"/>
      <c r="CK87" s="729"/>
      <c r="CL87" s="729"/>
      <c r="CM87" s="729"/>
      <c r="CN87" s="729"/>
      <c r="CO87" s="729"/>
      <c r="CP87" s="729"/>
      <c r="CQ87" s="729"/>
      <c r="CR87" s="729"/>
      <c r="CS87" s="729"/>
      <c r="CT87" s="729"/>
      <c r="CU87" s="729"/>
      <c r="CV87" s="729"/>
      <c r="CW87" s="729"/>
      <c r="CX87" s="729"/>
      <c r="CY87" s="729"/>
      <c r="CZ87" s="729"/>
    </row>
    <row r="88" spans="1:104" s="730" customFormat="1" ht="24.6" customHeight="1">
      <c r="A88" s="725">
        <v>85</v>
      </c>
      <c r="B88" s="726" t="s">
        <v>812</v>
      </c>
      <c r="C88" s="726" t="s">
        <v>1055</v>
      </c>
      <c r="D88" s="726"/>
      <c r="E88" s="727"/>
      <c r="F88" s="727"/>
      <c r="G88" s="727"/>
      <c r="H88" s="727"/>
      <c r="I88" s="727"/>
      <c r="J88" s="727"/>
      <c r="K88" s="727"/>
      <c r="L88" s="727"/>
      <c r="M88" s="727"/>
      <c r="N88" s="727"/>
      <c r="O88" s="727"/>
      <c r="P88" s="727"/>
      <c r="Q88" s="727"/>
      <c r="R88" s="727">
        <v>1</v>
      </c>
      <c r="S88" s="727"/>
      <c r="T88" s="727"/>
      <c r="U88" s="727"/>
      <c r="V88" s="727"/>
      <c r="W88" s="727"/>
      <c r="X88" s="727"/>
      <c r="Y88" s="727">
        <v>3</v>
      </c>
      <c r="Z88" s="727">
        <v>1</v>
      </c>
      <c r="AA88" s="727"/>
      <c r="AB88" s="727"/>
      <c r="AC88" s="727"/>
      <c r="AD88" s="727"/>
      <c r="AE88" s="727"/>
      <c r="AF88" s="727"/>
      <c r="AG88" s="727"/>
      <c r="AH88" s="727"/>
      <c r="AI88" s="727"/>
      <c r="AJ88" s="727"/>
      <c r="AK88" s="727"/>
      <c r="AL88" s="727"/>
      <c r="AM88" s="727"/>
      <c r="AN88" s="727"/>
      <c r="AO88" s="727"/>
      <c r="AP88" s="727"/>
      <c r="AQ88" s="727"/>
      <c r="AR88" s="727"/>
      <c r="AS88" s="727"/>
      <c r="AT88" s="727"/>
      <c r="AU88" s="727"/>
      <c r="AV88" s="727"/>
      <c r="AW88" s="727"/>
      <c r="AX88" s="727"/>
      <c r="AY88" s="727"/>
      <c r="AZ88" s="727"/>
      <c r="BA88" s="727"/>
      <c r="BB88" s="727"/>
      <c r="BC88" s="727"/>
      <c r="BD88" s="727"/>
      <c r="BE88" s="727"/>
      <c r="BF88" s="727"/>
      <c r="BG88" s="727"/>
      <c r="BH88" s="727"/>
      <c r="BI88" s="727"/>
      <c r="BJ88" s="727">
        <v>1</v>
      </c>
      <c r="BK88" s="727"/>
      <c r="BL88" s="727"/>
      <c r="BM88" s="727"/>
      <c r="BN88" s="727"/>
      <c r="BO88" s="727">
        <f t="shared" si="5"/>
        <v>3</v>
      </c>
      <c r="BP88" s="727"/>
      <c r="BQ88" s="727"/>
      <c r="BR88" s="727"/>
      <c r="BS88" s="727"/>
      <c r="BT88" s="727"/>
      <c r="BU88" s="727">
        <v>1</v>
      </c>
      <c r="BV88" s="727"/>
      <c r="BW88" s="727"/>
      <c r="BX88" s="727"/>
      <c r="BY88" s="727"/>
      <c r="BZ88" s="727"/>
      <c r="CA88" s="727"/>
      <c r="CB88" s="728"/>
      <c r="CC88" s="728"/>
      <c r="CD88" s="728"/>
      <c r="CE88" s="728"/>
      <c r="CF88" s="728"/>
      <c r="CG88" s="729"/>
      <c r="CH88" s="729"/>
      <c r="CI88" s="729"/>
      <c r="CJ88" s="729"/>
      <c r="CK88" s="729"/>
      <c r="CL88" s="729"/>
      <c r="CM88" s="729"/>
      <c r="CN88" s="729"/>
      <c r="CO88" s="729"/>
      <c r="CP88" s="729"/>
      <c r="CQ88" s="729"/>
      <c r="CR88" s="729"/>
      <c r="CS88" s="729"/>
      <c r="CT88" s="729"/>
      <c r="CU88" s="729"/>
      <c r="CV88" s="729"/>
      <c r="CW88" s="729"/>
      <c r="CX88" s="729"/>
      <c r="CY88" s="729"/>
      <c r="CZ88" s="729"/>
    </row>
    <row r="89" spans="1:104" s="730" customFormat="1" ht="24.6" customHeight="1">
      <c r="A89" s="725">
        <v>86</v>
      </c>
      <c r="B89" s="726" t="s">
        <v>813</v>
      </c>
      <c r="C89" s="726" t="s">
        <v>1055</v>
      </c>
      <c r="D89" s="726"/>
      <c r="E89" s="727"/>
      <c r="F89" s="727"/>
      <c r="G89" s="727"/>
      <c r="H89" s="727"/>
      <c r="I89" s="727"/>
      <c r="J89" s="727"/>
      <c r="K89" s="727"/>
      <c r="L89" s="727"/>
      <c r="M89" s="727"/>
      <c r="N89" s="727"/>
      <c r="O89" s="727"/>
      <c r="P89" s="727"/>
      <c r="Q89" s="727"/>
      <c r="R89" s="727">
        <v>1</v>
      </c>
      <c r="S89" s="727"/>
      <c r="T89" s="727"/>
      <c r="U89" s="727"/>
      <c r="V89" s="727"/>
      <c r="W89" s="727"/>
      <c r="X89" s="727"/>
      <c r="Y89" s="727">
        <v>3</v>
      </c>
      <c r="Z89" s="727">
        <v>1</v>
      </c>
      <c r="AA89" s="727"/>
      <c r="AB89" s="727"/>
      <c r="AC89" s="727"/>
      <c r="AD89" s="727"/>
      <c r="AE89" s="727"/>
      <c r="AF89" s="727"/>
      <c r="AG89" s="727"/>
      <c r="AH89" s="727"/>
      <c r="AI89" s="727"/>
      <c r="AJ89" s="727"/>
      <c r="AK89" s="727"/>
      <c r="AL89" s="727"/>
      <c r="AM89" s="727"/>
      <c r="AN89" s="727"/>
      <c r="AO89" s="727"/>
      <c r="AP89" s="727"/>
      <c r="AQ89" s="727"/>
      <c r="AR89" s="727"/>
      <c r="AS89" s="727"/>
      <c r="AT89" s="727"/>
      <c r="AU89" s="727"/>
      <c r="AV89" s="727"/>
      <c r="AW89" s="727"/>
      <c r="AX89" s="727"/>
      <c r="AY89" s="727"/>
      <c r="AZ89" s="727"/>
      <c r="BA89" s="727"/>
      <c r="BB89" s="727"/>
      <c r="BC89" s="727"/>
      <c r="BD89" s="727"/>
      <c r="BE89" s="727"/>
      <c r="BF89" s="727"/>
      <c r="BG89" s="727"/>
      <c r="BH89" s="727"/>
      <c r="BI89" s="727"/>
      <c r="BJ89" s="727">
        <v>1</v>
      </c>
      <c r="BK89" s="727"/>
      <c r="BL89" s="727"/>
      <c r="BM89" s="727"/>
      <c r="BN89" s="727"/>
      <c r="BO89" s="727">
        <f t="shared" si="5"/>
        <v>3</v>
      </c>
      <c r="BP89" s="727"/>
      <c r="BQ89" s="727"/>
      <c r="BR89" s="727"/>
      <c r="BS89" s="727"/>
      <c r="BT89" s="727"/>
      <c r="BU89" s="727">
        <v>1</v>
      </c>
      <c r="BV89" s="727"/>
      <c r="BW89" s="727"/>
      <c r="BX89" s="727"/>
      <c r="BY89" s="727"/>
      <c r="BZ89" s="727"/>
      <c r="CA89" s="727"/>
      <c r="CB89" s="728"/>
      <c r="CC89" s="728"/>
      <c r="CD89" s="728"/>
      <c r="CE89" s="728"/>
      <c r="CF89" s="728"/>
      <c r="CG89" s="729"/>
      <c r="CH89" s="729"/>
      <c r="CI89" s="729"/>
      <c r="CJ89" s="729"/>
      <c r="CK89" s="729"/>
      <c r="CL89" s="729"/>
      <c r="CM89" s="729"/>
      <c r="CN89" s="729"/>
      <c r="CO89" s="729"/>
      <c r="CP89" s="729"/>
      <c r="CQ89" s="729"/>
      <c r="CR89" s="729"/>
      <c r="CS89" s="729"/>
      <c r="CT89" s="729"/>
      <c r="CU89" s="729"/>
      <c r="CV89" s="729"/>
      <c r="CW89" s="729"/>
      <c r="CX89" s="729"/>
      <c r="CY89" s="729"/>
      <c r="CZ89" s="729"/>
    </row>
    <row r="90" spans="1:104" s="730" customFormat="1" ht="24.6" customHeight="1">
      <c r="A90" s="725">
        <v>87</v>
      </c>
      <c r="B90" s="726" t="s">
        <v>814</v>
      </c>
      <c r="C90" s="726" t="s">
        <v>1055</v>
      </c>
      <c r="D90" s="726"/>
      <c r="E90" s="727"/>
      <c r="F90" s="727"/>
      <c r="G90" s="727"/>
      <c r="H90" s="727"/>
      <c r="I90" s="727"/>
      <c r="J90" s="727"/>
      <c r="K90" s="727"/>
      <c r="L90" s="727"/>
      <c r="M90" s="727"/>
      <c r="N90" s="727"/>
      <c r="O90" s="727"/>
      <c r="P90" s="727"/>
      <c r="Q90" s="727"/>
      <c r="R90" s="727">
        <v>1</v>
      </c>
      <c r="S90" s="727"/>
      <c r="T90" s="727"/>
      <c r="U90" s="727"/>
      <c r="V90" s="727"/>
      <c r="W90" s="727"/>
      <c r="X90" s="727"/>
      <c r="Y90" s="727">
        <v>3</v>
      </c>
      <c r="Z90" s="727">
        <v>1</v>
      </c>
      <c r="AA90" s="727"/>
      <c r="AB90" s="727"/>
      <c r="AC90" s="727"/>
      <c r="AD90" s="727"/>
      <c r="AE90" s="727"/>
      <c r="AF90" s="727"/>
      <c r="AG90" s="727"/>
      <c r="AH90" s="727"/>
      <c r="AI90" s="727"/>
      <c r="AJ90" s="727"/>
      <c r="AK90" s="727"/>
      <c r="AL90" s="727"/>
      <c r="AM90" s="727"/>
      <c r="AN90" s="727"/>
      <c r="AO90" s="727"/>
      <c r="AP90" s="727"/>
      <c r="AQ90" s="727"/>
      <c r="AR90" s="727"/>
      <c r="AS90" s="727"/>
      <c r="AT90" s="727"/>
      <c r="AU90" s="727"/>
      <c r="AV90" s="727"/>
      <c r="AW90" s="727"/>
      <c r="AX90" s="727"/>
      <c r="AY90" s="727"/>
      <c r="AZ90" s="727"/>
      <c r="BA90" s="727"/>
      <c r="BB90" s="727"/>
      <c r="BC90" s="727"/>
      <c r="BD90" s="727"/>
      <c r="BE90" s="727"/>
      <c r="BF90" s="727"/>
      <c r="BG90" s="727"/>
      <c r="BH90" s="727"/>
      <c r="BI90" s="727"/>
      <c r="BJ90" s="727">
        <v>1</v>
      </c>
      <c r="BK90" s="727"/>
      <c r="BL90" s="727"/>
      <c r="BM90" s="727"/>
      <c r="BN90" s="727"/>
      <c r="BO90" s="727">
        <f t="shared" si="5"/>
        <v>3</v>
      </c>
      <c r="BP90" s="727"/>
      <c r="BQ90" s="727"/>
      <c r="BR90" s="727"/>
      <c r="BS90" s="727"/>
      <c r="BT90" s="727"/>
      <c r="BU90" s="727">
        <v>1</v>
      </c>
      <c r="BV90" s="727"/>
      <c r="BW90" s="727"/>
      <c r="BX90" s="727"/>
      <c r="BY90" s="727"/>
      <c r="BZ90" s="727"/>
      <c r="CA90" s="727"/>
      <c r="CB90" s="728"/>
      <c r="CC90" s="728"/>
      <c r="CD90" s="728"/>
      <c r="CE90" s="728"/>
      <c r="CF90" s="728"/>
      <c r="CG90" s="729"/>
      <c r="CH90" s="729"/>
      <c r="CI90" s="729"/>
      <c r="CJ90" s="729"/>
      <c r="CK90" s="729"/>
      <c r="CL90" s="729"/>
      <c r="CM90" s="729"/>
      <c r="CN90" s="729"/>
      <c r="CO90" s="729"/>
      <c r="CP90" s="729"/>
      <c r="CQ90" s="729"/>
      <c r="CR90" s="729"/>
      <c r="CS90" s="729"/>
      <c r="CT90" s="729"/>
      <c r="CU90" s="729"/>
      <c r="CV90" s="729"/>
      <c r="CW90" s="729"/>
      <c r="CX90" s="729"/>
      <c r="CY90" s="729"/>
      <c r="CZ90" s="729"/>
    </row>
    <row r="91" spans="1:104" s="431" customFormat="1" ht="24.6" customHeight="1">
      <c r="A91" s="432">
        <v>1</v>
      </c>
      <c r="B91" s="454" t="s">
        <v>825</v>
      </c>
      <c r="C91" s="454"/>
      <c r="D91" s="454"/>
      <c r="E91" s="135"/>
      <c r="F91" s="135"/>
      <c r="G91" s="135"/>
      <c r="H91" s="135"/>
      <c r="I91" s="135"/>
      <c r="J91" s="135"/>
      <c r="K91" s="135"/>
      <c r="L91" s="135"/>
      <c r="M91" s="135"/>
      <c r="N91" s="135"/>
      <c r="O91" s="716"/>
      <c r="P91" s="716"/>
      <c r="Q91" s="716"/>
      <c r="R91" s="716"/>
      <c r="S91" s="716"/>
      <c r="T91" s="716"/>
      <c r="U91" s="716"/>
      <c r="V91" s="135"/>
      <c r="W91" s="135"/>
      <c r="X91" s="135"/>
      <c r="Y91" s="135"/>
      <c r="Z91" s="135"/>
      <c r="AA91" s="135"/>
      <c r="AB91" s="135"/>
      <c r="AC91" s="135"/>
      <c r="AD91" s="135"/>
      <c r="AE91" s="135"/>
      <c r="AF91" s="135"/>
      <c r="AG91" s="135"/>
      <c r="AH91" s="135"/>
      <c r="AI91" s="135"/>
      <c r="AJ91" s="135"/>
      <c r="AK91" s="135"/>
      <c r="AL91" s="135"/>
      <c r="AM91" s="135">
        <v>3</v>
      </c>
      <c r="AN91" s="135"/>
      <c r="AO91" s="135"/>
      <c r="AP91" s="135"/>
      <c r="AQ91" s="135"/>
      <c r="AR91" s="135"/>
      <c r="AS91" s="135"/>
      <c r="AT91" s="716"/>
      <c r="AU91" s="135"/>
      <c r="AV91" s="135"/>
      <c r="AW91" s="135"/>
      <c r="AX91" s="135"/>
      <c r="AY91" s="135"/>
      <c r="AZ91" s="135"/>
      <c r="BA91" s="135"/>
      <c r="BB91" s="135"/>
      <c r="BC91" s="135"/>
      <c r="BD91" s="135"/>
      <c r="BE91" s="135"/>
      <c r="BF91" s="135"/>
      <c r="BG91" s="135"/>
      <c r="BH91" s="135"/>
      <c r="BI91" s="135"/>
      <c r="BJ91" s="135"/>
      <c r="BK91" s="135"/>
      <c r="BL91" s="135"/>
      <c r="BM91" s="135"/>
      <c r="BN91" s="135"/>
      <c r="BO91" s="135"/>
      <c r="BP91" s="135"/>
      <c r="BQ91" s="135"/>
      <c r="BR91" s="135"/>
      <c r="BS91" s="135"/>
      <c r="BT91" s="135"/>
      <c r="BU91" s="135"/>
      <c r="BV91" s="135"/>
      <c r="BW91" s="135"/>
      <c r="BX91" s="135"/>
      <c r="BY91" s="135"/>
      <c r="BZ91" s="135"/>
      <c r="CA91" s="135"/>
      <c r="CB91" s="700"/>
      <c r="CC91" s="700"/>
      <c r="CD91" s="700"/>
      <c r="CE91" s="700"/>
      <c r="CF91" s="700"/>
      <c r="CG91" s="128"/>
      <c r="CH91" s="128"/>
      <c r="CI91" s="128"/>
      <c r="CJ91" s="128"/>
      <c r="CK91" s="128"/>
      <c r="CL91" s="128"/>
      <c r="CM91" s="128"/>
      <c r="CN91" s="128"/>
      <c r="CO91" s="128"/>
      <c r="CP91" s="128"/>
      <c r="CQ91" s="128"/>
      <c r="CR91" s="128"/>
      <c r="CS91" s="128"/>
      <c r="CT91" s="128"/>
      <c r="CU91" s="128"/>
      <c r="CV91" s="128"/>
      <c r="CW91" s="128"/>
      <c r="CX91" s="128"/>
      <c r="CY91" s="128"/>
      <c r="CZ91" s="128"/>
    </row>
    <row r="92" spans="1:104" s="431" customFormat="1" ht="24.6" customHeight="1">
      <c r="A92" s="432">
        <v>2</v>
      </c>
      <c r="B92" s="454" t="s">
        <v>826</v>
      </c>
      <c r="C92" s="454"/>
      <c r="D92" s="454"/>
      <c r="E92" s="135"/>
      <c r="F92" s="135"/>
      <c r="G92" s="135"/>
      <c r="H92" s="135"/>
      <c r="I92" s="135"/>
      <c r="J92" s="135"/>
      <c r="K92" s="135"/>
      <c r="L92" s="135"/>
      <c r="M92" s="135"/>
      <c r="N92" s="135"/>
      <c r="O92" s="716"/>
      <c r="P92" s="716"/>
      <c r="Q92" s="716"/>
      <c r="R92" s="716"/>
      <c r="S92" s="716"/>
      <c r="T92" s="716"/>
      <c r="U92" s="716"/>
      <c r="V92" s="135"/>
      <c r="W92" s="135"/>
      <c r="X92" s="135"/>
      <c r="Y92" s="135"/>
      <c r="Z92" s="135"/>
      <c r="AA92" s="135"/>
      <c r="AB92" s="135"/>
      <c r="AC92" s="135"/>
      <c r="AD92" s="135"/>
      <c r="AE92" s="135"/>
      <c r="AF92" s="135"/>
      <c r="AG92" s="135"/>
      <c r="AH92" s="135"/>
      <c r="AI92" s="135"/>
      <c r="AJ92" s="135"/>
      <c r="AK92" s="135"/>
      <c r="AL92" s="135"/>
      <c r="AM92" s="135">
        <v>11</v>
      </c>
      <c r="AN92" s="135"/>
      <c r="AO92" s="135"/>
      <c r="AP92" s="135"/>
      <c r="AQ92" s="135"/>
      <c r="AR92" s="135"/>
      <c r="AS92" s="135"/>
      <c r="AT92" s="716"/>
      <c r="AU92" s="135"/>
      <c r="AV92" s="135"/>
      <c r="AW92" s="135"/>
      <c r="AX92" s="135"/>
      <c r="AY92" s="135"/>
      <c r="AZ92" s="135"/>
      <c r="BA92" s="135"/>
      <c r="BB92" s="135"/>
      <c r="BC92" s="135"/>
      <c r="BD92" s="135"/>
      <c r="BE92" s="135"/>
      <c r="BF92" s="135"/>
      <c r="BG92" s="135"/>
      <c r="BH92" s="135"/>
      <c r="BI92" s="135"/>
      <c r="BJ92" s="135"/>
      <c r="BK92" s="135"/>
      <c r="BL92" s="135"/>
      <c r="BM92" s="135"/>
      <c r="BN92" s="135"/>
      <c r="BO92" s="135"/>
      <c r="BP92" s="135"/>
      <c r="BQ92" s="135"/>
      <c r="BR92" s="135"/>
      <c r="BS92" s="135"/>
      <c r="BT92" s="135"/>
      <c r="BU92" s="135"/>
      <c r="BV92" s="135"/>
      <c r="BW92" s="135"/>
      <c r="BX92" s="135"/>
      <c r="BY92" s="135"/>
      <c r="BZ92" s="135"/>
      <c r="CA92" s="135"/>
      <c r="CB92" s="700"/>
      <c r="CC92" s="700"/>
      <c r="CD92" s="700"/>
      <c r="CE92" s="700"/>
      <c r="CF92" s="700"/>
      <c r="CG92" s="128"/>
      <c r="CH92" s="128"/>
      <c r="CI92" s="128"/>
      <c r="CJ92" s="128"/>
      <c r="CK92" s="128"/>
      <c r="CL92" s="128"/>
      <c r="CM92" s="128"/>
      <c r="CN92" s="128"/>
      <c r="CO92" s="128"/>
      <c r="CP92" s="128"/>
      <c r="CQ92" s="128"/>
      <c r="CR92" s="128"/>
      <c r="CS92" s="128"/>
      <c r="CT92" s="128"/>
      <c r="CU92" s="128"/>
      <c r="CV92" s="128"/>
      <c r="CW92" s="128"/>
      <c r="CX92" s="128"/>
      <c r="CY92" s="128"/>
      <c r="CZ92" s="128"/>
    </row>
    <row r="93" spans="1:104" s="431" customFormat="1" ht="24.6" customHeight="1">
      <c r="A93" s="432">
        <v>3</v>
      </c>
      <c r="B93" s="454" t="s">
        <v>827</v>
      </c>
      <c r="C93" s="454"/>
      <c r="D93" s="454"/>
      <c r="E93" s="135"/>
      <c r="F93" s="135"/>
      <c r="G93" s="135"/>
      <c r="H93" s="135"/>
      <c r="I93" s="135"/>
      <c r="J93" s="135"/>
      <c r="K93" s="135"/>
      <c r="L93" s="135"/>
      <c r="M93" s="135"/>
      <c r="N93" s="135"/>
      <c r="O93" s="716"/>
      <c r="P93" s="716"/>
      <c r="Q93" s="716"/>
      <c r="R93" s="716"/>
      <c r="S93" s="716"/>
      <c r="T93" s="716"/>
      <c r="U93" s="716"/>
      <c r="V93" s="135"/>
      <c r="W93" s="135"/>
      <c r="X93" s="135"/>
      <c r="Y93" s="135"/>
      <c r="Z93" s="135"/>
      <c r="AA93" s="135"/>
      <c r="AB93" s="135"/>
      <c r="AC93" s="135"/>
      <c r="AD93" s="135"/>
      <c r="AE93" s="135"/>
      <c r="AF93" s="135"/>
      <c r="AG93" s="135"/>
      <c r="AH93" s="135"/>
      <c r="AI93" s="135"/>
      <c r="AJ93" s="135"/>
      <c r="AK93" s="135"/>
      <c r="AL93" s="135"/>
      <c r="AM93" s="135">
        <v>6</v>
      </c>
      <c r="AN93" s="135"/>
      <c r="AO93" s="135"/>
      <c r="AP93" s="135"/>
      <c r="AQ93" s="135"/>
      <c r="AR93" s="135"/>
      <c r="AS93" s="135"/>
      <c r="AT93" s="716"/>
      <c r="AU93" s="135"/>
      <c r="AV93" s="135"/>
      <c r="AW93" s="135"/>
      <c r="AX93" s="135"/>
      <c r="AY93" s="135"/>
      <c r="AZ93" s="135"/>
      <c r="BA93" s="135"/>
      <c r="BB93" s="135"/>
      <c r="BC93" s="135"/>
      <c r="BD93" s="135"/>
      <c r="BE93" s="135"/>
      <c r="BF93" s="135"/>
      <c r="BG93" s="135"/>
      <c r="BH93" s="135"/>
      <c r="BI93" s="135"/>
      <c r="BJ93" s="135"/>
      <c r="BK93" s="135"/>
      <c r="BL93" s="135"/>
      <c r="BM93" s="135"/>
      <c r="BN93" s="135"/>
      <c r="BO93" s="135"/>
      <c r="BP93" s="135"/>
      <c r="BQ93" s="135"/>
      <c r="BR93" s="135"/>
      <c r="BS93" s="135"/>
      <c r="BT93" s="135"/>
      <c r="BU93" s="135"/>
      <c r="BV93" s="135"/>
      <c r="BW93" s="135"/>
      <c r="BX93" s="135"/>
      <c r="BY93" s="135"/>
      <c r="BZ93" s="135"/>
      <c r="CA93" s="135"/>
      <c r="CB93" s="700"/>
      <c r="CC93" s="700"/>
      <c r="CD93" s="700"/>
      <c r="CE93" s="700"/>
      <c r="CF93" s="700"/>
      <c r="CG93" s="128"/>
      <c r="CH93" s="128"/>
      <c r="CI93" s="128"/>
      <c r="CJ93" s="128"/>
      <c r="CK93" s="128"/>
      <c r="CL93" s="128"/>
      <c r="CM93" s="128"/>
      <c r="CN93" s="128"/>
      <c r="CO93" s="128"/>
      <c r="CP93" s="128"/>
      <c r="CQ93" s="128"/>
      <c r="CR93" s="128"/>
      <c r="CS93" s="128"/>
      <c r="CT93" s="128"/>
      <c r="CU93" s="128"/>
      <c r="CV93" s="128"/>
      <c r="CW93" s="128"/>
      <c r="CX93" s="128"/>
      <c r="CY93" s="128"/>
      <c r="CZ93" s="128"/>
    </row>
    <row r="94" spans="1:104" s="431" customFormat="1" ht="24.6" customHeight="1">
      <c r="A94" s="432">
        <v>4</v>
      </c>
      <c r="B94" s="454" t="s">
        <v>828</v>
      </c>
      <c r="C94" s="454"/>
      <c r="D94" s="454"/>
      <c r="E94" s="135"/>
      <c r="F94" s="135"/>
      <c r="G94" s="135"/>
      <c r="H94" s="135"/>
      <c r="I94" s="135"/>
      <c r="J94" s="135"/>
      <c r="K94" s="135"/>
      <c r="L94" s="135"/>
      <c r="M94" s="135"/>
      <c r="N94" s="135"/>
      <c r="O94" s="716"/>
      <c r="P94" s="716"/>
      <c r="Q94" s="716"/>
      <c r="R94" s="716"/>
      <c r="S94" s="716"/>
      <c r="T94" s="716"/>
      <c r="U94" s="716"/>
      <c r="V94" s="135"/>
      <c r="W94" s="135"/>
      <c r="X94" s="135"/>
      <c r="Y94" s="135"/>
      <c r="Z94" s="135"/>
      <c r="AA94" s="135"/>
      <c r="AB94" s="135"/>
      <c r="AC94" s="135"/>
      <c r="AD94" s="135"/>
      <c r="AE94" s="135"/>
      <c r="AF94" s="135"/>
      <c r="AG94" s="135"/>
      <c r="AH94" s="135"/>
      <c r="AI94" s="135"/>
      <c r="AJ94" s="135"/>
      <c r="AK94" s="135"/>
      <c r="AL94" s="135"/>
      <c r="AM94" s="135">
        <v>6</v>
      </c>
      <c r="AN94" s="135"/>
      <c r="AO94" s="135"/>
      <c r="AP94" s="135"/>
      <c r="AQ94" s="135"/>
      <c r="AR94" s="135"/>
      <c r="AS94" s="135"/>
      <c r="AT94" s="716"/>
      <c r="AU94" s="135"/>
      <c r="AV94" s="135"/>
      <c r="AW94" s="135"/>
      <c r="AX94" s="135"/>
      <c r="AY94" s="135"/>
      <c r="AZ94" s="135"/>
      <c r="BA94" s="135"/>
      <c r="BB94" s="135"/>
      <c r="BC94" s="135"/>
      <c r="BD94" s="135"/>
      <c r="BE94" s="135"/>
      <c r="BF94" s="135"/>
      <c r="BG94" s="135"/>
      <c r="BH94" s="135"/>
      <c r="BI94" s="135"/>
      <c r="BJ94" s="135"/>
      <c r="BK94" s="135"/>
      <c r="BL94" s="135"/>
      <c r="BM94" s="135"/>
      <c r="BN94" s="135"/>
      <c r="BO94" s="135"/>
      <c r="BP94" s="135"/>
      <c r="BQ94" s="135"/>
      <c r="BR94" s="135"/>
      <c r="BS94" s="135"/>
      <c r="BT94" s="135"/>
      <c r="BU94" s="135"/>
      <c r="BV94" s="135"/>
      <c r="BW94" s="135"/>
      <c r="BX94" s="135"/>
      <c r="BY94" s="135"/>
      <c r="BZ94" s="135"/>
      <c r="CA94" s="135"/>
      <c r="CB94" s="700"/>
      <c r="CC94" s="700"/>
      <c r="CD94" s="700"/>
      <c r="CE94" s="700"/>
      <c r="CF94" s="700"/>
      <c r="CG94" s="128"/>
      <c r="CH94" s="128"/>
      <c r="CI94" s="128"/>
      <c r="CJ94" s="128"/>
      <c r="CK94" s="128"/>
      <c r="CL94" s="128"/>
      <c r="CM94" s="128"/>
      <c r="CN94" s="128"/>
      <c r="CO94" s="128"/>
      <c r="CP94" s="128"/>
      <c r="CQ94" s="128"/>
      <c r="CR94" s="128"/>
      <c r="CS94" s="128"/>
      <c r="CT94" s="128"/>
      <c r="CU94" s="128"/>
      <c r="CV94" s="128"/>
      <c r="CW94" s="128"/>
      <c r="CX94" s="128"/>
      <c r="CY94" s="128"/>
      <c r="CZ94" s="128"/>
    </row>
    <row r="95" spans="1:104" s="431" customFormat="1" ht="24.6" customHeight="1">
      <c r="A95" s="432">
        <v>5</v>
      </c>
      <c r="B95" s="454" t="s">
        <v>829</v>
      </c>
      <c r="C95" s="454"/>
      <c r="D95" s="454"/>
      <c r="E95" s="135"/>
      <c r="F95" s="135"/>
      <c r="G95" s="135"/>
      <c r="H95" s="135"/>
      <c r="I95" s="135"/>
      <c r="J95" s="135"/>
      <c r="K95" s="135"/>
      <c r="L95" s="135"/>
      <c r="M95" s="135"/>
      <c r="N95" s="135"/>
      <c r="O95" s="716"/>
      <c r="P95" s="716"/>
      <c r="Q95" s="716"/>
      <c r="R95" s="716"/>
      <c r="S95" s="716"/>
      <c r="T95" s="716"/>
      <c r="U95" s="716"/>
      <c r="V95" s="135"/>
      <c r="W95" s="135"/>
      <c r="X95" s="135"/>
      <c r="Y95" s="135"/>
      <c r="Z95" s="135"/>
      <c r="AA95" s="135"/>
      <c r="AB95" s="135"/>
      <c r="AC95" s="135"/>
      <c r="AD95" s="135"/>
      <c r="AE95" s="135"/>
      <c r="AF95" s="135"/>
      <c r="AG95" s="135"/>
      <c r="AH95" s="135"/>
      <c r="AI95" s="135"/>
      <c r="AJ95" s="135"/>
      <c r="AK95" s="135"/>
      <c r="AL95" s="135"/>
      <c r="AM95" s="135">
        <v>6</v>
      </c>
      <c r="AN95" s="135"/>
      <c r="AO95" s="135"/>
      <c r="AP95" s="135"/>
      <c r="AQ95" s="135"/>
      <c r="AR95" s="135"/>
      <c r="AS95" s="135"/>
      <c r="AT95" s="716"/>
      <c r="AU95" s="135"/>
      <c r="AV95" s="135"/>
      <c r="AW95" s="135"/>
      <c r="AX95" s="135"/>
      <c r="AY95" s="135"/>
      <c r="AZ95" s="135"/>
      <c r="BA95" s="135"/>
      <c r="BB95" s="135"/>
      <c r="BC95" s="135"/>
      <c r="BD95" s="135"/>
      <c r="BE95" s="135"/>
      <c r="BF95" s="135"/>
      <c r="BG95" s="135"/>
      <c r="BH95" s="135"/>
      <c r="BI95" s="135"/>
      <c r="BJ95" s="135"/>
      <c r="BK95" s="135"/>
      <c r="BL95" s="135"/>
      <c r="BM95" s="135"/>
      <c r="BN95" s="135"/>
      <c r="BO95" s="135"/>
      <c r="BP95" s="135"/>
      <c r="BQ95" s="135"/>
      <c r="BR95" s="135"/>
      <c r="BS95" s="135"/>
      <c r="BT95" s="135"/>
      <c r="BU95" s="135"/>
      <c r="BV95" s="135"/>
      <c r="BW95" s="135"/>
      <c r="BX95" s="135"/>
      <c r="BY95" s="135"/>
      <c r="BZ95" s="135"/>
      <c r="CA95" s="135"/>
      <c r="CB95" s="700"/>
      <c r="CC95" s="700"/>
      <c r="CD95" s="700"/>
      <c r="CE95" s="700"/>
      <c r="CF95" s="700"/>
      <c r="CG95" s="128"/>
      <c r="CH95" s="128"/>
      <c r="CI95" s="128"/>
      <c r="CJ95" s="128"/>
      <c r="CK95" s="128"/>
      <c r="CL95" s="128"/>
      <c r="CM95" s="128"/>
      <c r="CN95" s="128"/>
      <c r="CO95" s="128"/>
      <c r="CP95" s="128"/>
      <c r="CQ95" s="128"/>
      <c r="CR95" s="128"/>
      <c r="CS95" s="128"/>
      <c r="CT95" s="128"/>
      <c r="CU95" s="128"/>
      <c r="CV95" s="128"/>
      <c r="CW95" s="128"/>
      <c r="CX95" s="128"/>
      <c r="CY95" s="128"/>
      <c r="CZ95" s="128"/>
    </row>
    <row r="96" spans="1:104" s="431" customFormat="1" ht="24.6" customHeight="1">
      <c r="A96" s="432">
        <v>6</v>
      </c>
      <c r="B96" s="454" t="s">
        <v>830</v>
      </c>
      <c r="C96" s="454"/>
      <c r="D96" s="454"/>
      <c r="E96" s="135"/>
      <c r="F96" s="135"/>
      <c r="G96" s="135"/>
      <c r="H96" s="135"/>
      <c r="I96" s="135"/>
      <c r="J96" s="135"/>
      <c r="K96" s="135"/>
      <c r="L96" s="135"/>
      <c r="M96" s="135"/>
      <c r="N96" s="135"/>
      <c r="O96" s="716"/>
      <c r="P96" s="716"/>
      <c r="Q96" s="716"/>
      <c r="R96" s="716"/>
      <c r="S96" s="716"/>
      <c r="T96" s="716"/>
      <c r="U96" s="716"/>
      <c r="V96" s="135"/>
      <c r="W96" s="135"/>
      <c r="X96" s="135"/>
      <c r="Y96" s="135"/>
      <c r="Z96" s="135"/>
      <c r="AA96" s="135"/>
      <c r="AB96" s="135"/>
      <c r="AC96" s="135"/>
      <c r="AD96" s="135"/>
      <c r="AE96" s="135"/>
      <c r="AF96" s="135"/>
      <c r="AG96" s="135"/>
      <c r="AH96" s="135"/>
      <c r="AI96" s="135"/>
      <c r="AJ96" s="135"/>
      <c r="AK96" s="135"/>
      <c r="AL96" s="135"/>
      <c r="AM96" s="135">
        <v>6</v>
      </c>
      <c r="AN96" s="135"/>
      <c r="AO96" s="135"/>
      <c r="AP96" s="135"/>
      <c r="AQ96" s="135"/>
      <c r="AR96" s="135"/>
      <c r="AS96" s="135"/>
      <c r="AT96" s="716"/>
      <c r="AU96" s="135"/>
      <c r="AV96" s="135"/>
      <c r="AW96" s="135"/>
      <c r="AX96" s="135"/>
      <c r="AY96" s="135"/>
      <c r="AZ96" s="135"/>
      <c r="BA96" s="135"/>
      <c r="BB96" s="135"/>
      <c r="BC96" s="135"/>
      <c r="BD96" s="135"/>
      <c r="BE96" s="135"/>
      <c r="BF96" s="135"/>
      <c r="BG96" s="135"/>
      <c r="BH96" s="135"/>
      <c r="BI96" s="135"/>
      <c r="BJ96" s="135"/>
      <c r="BK96" s="135"/>
      <c r="BL96" s="135"/>
      <c r="BM96" s="135"/>
      <c r="BN96" s="135"/>
      <c r="BO96" s="135"/>
      <c r="BP96" s="135"/>
      <c r="BQ96" s="135"/>
      <c r="BR96" s="135"/>
      <c r="BS96" s="135"/>
      <c r="BT96" s="135"/>
      <c r="BU96" s="135"/>
      <c r="BV96" s="135"/>
      <c r="BW96" s="135"/>
      <c r="BX96" s="135"/>
      <c r="BY96" s="135"/>
      <c r="BZ96" s="135"/>
      <c r="CA96" s="135"/>
      <c r="CB96" s="700"/>
      <c r="CC96" s="700"/>
      <c r="CD96" s="700"/>
      <c r="CE96" s="700"/>
      <c r="CF96" s="700"/>
      <c r="CG96" s="128"/>
      <c r="CH96" s="128"/>
      <c r="CI96" s="128"/>
      <c r="CJ96" s="128"/>
      <c r="CK96" s="128"/>
      <c r="CL96" s="128"/>
      <c r="CM96" s="128"/>
      <c r="CN96" s="128"/>
      <c r="CO96" s="128"/>
      <c r="CP96" s="128"/>
      <c r="CQ96" s="128"/>
      <c r="CR96" s="128"/>
      <c r="CS96" s="128"/>
      <c r="CT96" s="128"/>
      <c r="CU96" s="128"/>
      <c r="CV96" s="128"/>
      <c r="CW96" s="128"/>
      <c r="CX96" s="128"/>
      <c r="CY96" s="128"/>
      <c r="CZ96" s="128"/>
    </row>
    <row r="97" spans="1:104" s="431" customFormat="1" ht="24.6" customHeight="1">
      <c r="A97" s="432">
        <v>7</v>
      </c>
      <c r="B97" s="454" t="s">
        <v>831</v>
      </c>
      <c r="C97" s="454"/>
      <c r="D97" s="454"/>
      <c r="E97" s="135"/>
      <c r="F97" s="135"/>
      <c r="G97" s="135"/>
      <c r="H97" s="135"/>
      <c r="I97" s="135"/>
      <c r="J97" s="135"/>
      <c r="K97" s="135"/>
      <c r="L97" s="135"/>
      <c r="M97" s="135"/>
      <c r="N97" s="135"/>
      <c r="O97" s="716"/>
      <c r="P97" s="716"/>
      <c r="Q97" s="716"/>
      <c r="R97" s="716"/>
      <c r="S97" s="716"/>
      <c r="T97" s="716"/>
      <c r="U97" s="716"/>
      <c r="V97" s="135"/>
      <c r="W97" s="135"/>
      <c r="X97" s="135"/>
      <c r="Y97" s="135"/>
      <c r="Z97" s="135"/>
      <c r="AA97" s="135"/>
      <c r="AB97" s="135"/>
      <c r="AC97" s="135"/>
      <c r="AD97" s="135"/>
      <c r="AE97" s="135"/>
      <c r="AF97" s="135"/>
      <c r="AG97" s="135"/>
      <c r="AH97" s="135"/>
      <c r="AI97" s="135"/>
      <c r="AJ97" s="135"/>
      <c r="AK97" s="135"/>
      <c r="AL97" s="135"/>
      <c r="AM97" s="135">
        <v>6</v>
      </c>
      <c r="AN97" s="135"/>
      <c r="AO97" s="135"/>
      <c r="AP97" s="135"/>
      <c r="AQ97" s="135"/>
      <c r="AR97" s="135"/>
      <c r="AS97" s="135"/>
      <c r="AT97" s="716"/>
      <c r="AU97" s="135"/>
      <c r="AV97" s="135"/>
      <c r="AW97" s="135"/>
      <c r="AX97" s="135"/>
      <c r="AY97" s="135"/>
      <c r="AZ97" s="135"/>
      <c r="BA97" s="135"/>
      <c r="BB97" s="135"/>
      <c r="BC97" s="135"/>
      <c r="BD97" s="135"/>
      <c r="BE97" s="135"/>
      <c r="BF97" s="135"/>
      <c r="BG97" s="135"/>
      <c r="BH97" s="135"/>
      <c r="BI97" s="135"/>
      <c r="BJ97" s="135"/>
      <c r="BK97" s="135"/>
      <c r="BL97" s="135"/>
      <c r="BM97" s="135"/>
      <c r="BN97" s="135"/>
      <c r="BO97" s="135"/>
      <c r="BP97" s="135"/>
      <c r="BQ97" s="135"/>
      <c r="BR97" s="135"/>
      <c r="BS97" s="135"/>
      <c r="BT97" s="135"/>
      <c r="BU97" s="135"/>
      <c r="BV97" s="135"/>
      <c r="BW97" s="135"/>
      <c r="BX97" s="135"/>
      <c r="BY97" s="135"/>
      <c r="BZ97" s="135"/>
      <c r="CA97" s="135"/>
      <c r="CB97" s="700"/>
      <c r="CC97" s="700"/>
      <c r="CD97" s="700"/>
      <c r="CE97" s="700"/>
      <c r="CF97" s="700"/>
      <c r="CG97" s="128"/>
      <c r="CH97" s="128"/>
      <c r="CI97" s="128"/>
      <c r="CJ97" s="128"/>
      <c r="CK97" s="128"/>
      <c r="CL97" s="128"/>
      <c r="CM97" s="128"/>
      <c r="CN97" s="128"/>
      <c r="CO97" s="128"/>
      <c r="CP97" s="128"/>
      <c r="CQ97" s="128"/>
      <c r="CR97" s="128"/>
      <c r="CS97" s="128"/>
      <c r="CT97" s="128"/>
      <c r="CU97" s="128"/>
      <c r="CV97" s="128"/>
      <c r="CW97" s="128"/>
      <c r="CX97" s="128"/>
      <c r="CY97" s="128"/>
      <c r="CZ97" s="128"/>
    </row>
    <row r="98" spans="1:104" s="431" customFormat="1" ht="24.6" customHeight="1">
      <c r="A98" s="432">
        <v>8</v>
      </c>
      <c r="B98" s="454" t="s">
        <v>832</v>
      </c>
      <c r="C98" s="454"/>
      <c r="D98" s="454"/>
      <c r="E98" s="135"/>
      <c r="F98" s="135"/>
      <c r="G98" s="135"/>
      <c r="H98" s="135"/>
      <c r="I98" s="135"/>
      <c r="J98" s="135"/>
      <c r="K98" s="135"/>
      <c r="L98" s="135"/>
      <c r="M98" s="135"/>
      <c r="N98" s="135"/>
      <c r="O98" s="716"/>
      <c r="P98" s="716"/>
      <c r="Q98" s="716"/>
      <c r="R98" s="716"/>
      <c r="S98" s="716"/>
      <c r="T98" s="716"/>
      <c r="U98" s="716"/>
      <c r="V98" s="135"/>
      <c r="W98" s="135"/>
      <c r="X98" s="135"/>
      <c r="Y98" s="135"/>
      <c r="Z98" s="135"/>
      <c r="AA98" s="135"/>
      <c r="AB98" s="135"/>
      <c r="AC98" s="135"/>
      <c r="AD98" s="135"/>
      <c r="AE98" s="135"/>
      <c r="AF98" s="135"/>
      <c r="AG98" s="135"/>
      <c r="AH98" s="135"/>
      <c r="AI98" s="135"/>
      <c r="AJ98" s="135"/>
      <c r="AK98" s="135"/>
      <c r="AL98" s="135"/>
      <c r="AM98" s="135">
        <v>6</v>
      </c>
      <c r="AN98" s="135"/>
      <c r="AO98" s="135"/>
      <c r="AP98" s="135"/>
      <c r="AQ98" s="135"/>
      <c r="AR98" s="135"/>
      <c r="AS98" s="135"/>
      <c r="AT98" s="716"/>
      <c r="AU98" s="135"/>
      <c r="AV98" s="135"/>
      <c r="AW98" s="135"/>
      <c r="AX98" s="135"/>
      <c r="AY98" s="135"/>
      <c r="AZ98" s="135"/>
      <c r="BA98" s="135"/>
      <c r="BB98" s="135"/>
      <c r="BC98" s="135"/>
      <c r="BD98" s="135"/>
      <c r="BE98" s="135"/>
      <c r="BF98" s="135"/>
      <c r="BG98" s="135"/>
      <c r="BH98" s="135"/>
      <c r="BI98" s="135"/>
      <c r="BJ98" s="135"/>
      <c r="BK98" s="135"/>
      <c r="BL98" s="135"/>
      <c r="BM98" s="135"/>
      <c r="BN98" s="135"/>
      <c r="BO98" s="135"/>
      <c r="BP98" s="135"/>
      <c r="BQ98" s="135"/>
      <c r="BR98" s="135"/>
      <c r="BS98" s="135"/>
      <c r="BT98" s="135"/>
      <c r="BU98" s="135"/>
      <c r="BV98" s="135"/>
      <c r="BW98" s="135"/>
      <c r="BX98" s="135"/>
      <c r="BY98" s="135"/>
      <c r="BZ98" s="135"/>
      <c r="CA98" s="135"/>
      <c r="CB98" s="700"/>
      <c r="CC98" s="700"/>
      <c r="CD98" s="700"/>
      <c r="CE98" s="700"/>
      <c r="CF98" s="700"/>
      <c r="CG98" s="128"/>
      <c r="CH98" s="128"/>
      <c r="CI98" s="128"/>
      <c r="CJ98" s="128"/>
      <c r="CK98" s="128"/>
      <c r="CL98" s="128"/>
      <c r="CM98" s="128"/>
      <c r="CN98" s="128"/>
      <c r="CO98" s="128"/>
      <c r="CP98" s="128"/>
      <c r="CQ98" s="128"/>
      <c r="CR98" s="128"/>
      <c r="CS98" s="128"/>
      <c r="CT98" s="128"/>
      <c r="CU98" s="128"/>
      <c r="CV98" s="128"/>
      <c r="CW98" s="128"/>
      <c r="CX98" s="128"/>
      <c r="CY98" s="128"/>
      <c r="CZ98" s="128"/>
    </row>
    <row r="99" spans="1:104" s="431" customFormat="1" ht="24.6" customHeight="1">
      <c r="A99" s="432">
        <v>9</v>
      </c>
      <c r="B99" s="454" t="s">
        <v>833</v>
      </c>
      <c r="C99" s="454"/>
      <c r="D99" s="454"/>
      <c r="E99" s="135"/>
      <c r="F99" s="135"/>
      <c r="G99" s="135"/>
      <c r="H99" s="135"/>
      <c r="I99" s="135"/>
      <c r="J99" s="135"/>
      <c r="K99" s="135"/>
      <c r="L99" s="135"/>
      <c r="M99" s="135"/>
      <c r="N99" s="135"/>
      <c r="O99" s="716"/>
      <c r="P99" s="716"/>
      <c r="Q99" s="716"/>
      <c r="R99" s="716"/>
      <c r="S99" s="716"/>
      <c r="T99" s="716"/>
      <c r="U99" s="716"/>
      <c r="V99" s="135"/>
      <c r="W99" s="135"/>
      <c r="X99" s="135"/>
      <c r="Y99" s="135"/>
      <c r="Z99" s="135"/>
      <c r="AA99" s="135"/>
      <c r="AB99" s="135"/>
      <c r="AC99" s="135"/>
      <c r="AD99" s="135"/>
      <c r="AE99" s="135"/>
      <c r="AF99" s="135"/>
      <c r="AG99" s="135"/>
      <c r="AH99" s="135"/>
      <c r="AI99" s="135"/>
      <c r="AJ99" s="135"/>
      <c r="AK99" s="135"/>
      <c r="AL99" s="135"/>
      <c r="AM99" s="135">
        <v>6</v>
      </c>
      <c r="AN99" s="135"/>
      <c r="AO99" s="135"/>
      <c r="AP99" s="135"/>
      <c r="AQ99" s="135"/>
      <c r="AR99" s="135"/>
      <c r="AS99" s="135"/>
      <c r="AT99" s="716"/>
      <c r="AU99" s="135"/>
      <c r="AV99" s="135"/>
      <c r="AW99" s="135"/>
      <c r="AX99" s="135"/>
      <c r="AY99" s="135"/>
      <c r="AZ99" s="135"/>
      <c r="BA99" s="135"/>
      <c r="BB99" s="135"/>
      <c r="BC99" s="135"/>
      <c r="BD99" s="135"/>
      <c r="BE99" s="135"/>
      <c r="BF99" s="135"/>
      <c r="BG99" s="135"/>
      <c r="BH99" s="135"/>
      <c r="BI99" s="135"/>
      <c r="BJ99" s="135"/>
      <c r="BK99" s="135"/>
      <c r="BL99" s="135"/>
      <c r="BM99" s="135"/>
      <c r="BN99" s="135"/>
      <c r="BO99" s="135"/>
      <c r="BP99" s="135"/>
      <c r="BQ99" s="135"/>
      <c r="BR99" s="135"/>
      <c r="BS99" s="135"/>
      <c r="BT99" s="135"/>
      <c r="BU99" s="135"/>
      <c r="BV99" s="135"/>
      <c r="BW99" s="135"/>
      <c r="BX99" s="135"/>
      <c r="BY99" s="135"/>
      <c r="BZ99" s="135"/>
      <c r="CA99" s="135"/>
      <c r="CB99" s="700"/>
      <c r="CC99" s="700"/>
      <c r="CD99" s="700"/>
      <c r="CE99" s="700"/>
      <c r="CF99" s="700"/>
      <c r="CG99" s="128"/>
      <c r="CH99" s="128"/>
      <c r="CI99" s="128"/>
      <c r="CJ99" s="128"/>
      <c r="CK99" s="128"/>
      <c r="CL99" s="128"/>
      <c r="CM99" s="128"/>
      <c r="CN99" s="128"/>
      <c r="CO99" s="128"/>
      <c r="CP99" s="128"/>
      <c r="CQ99" s="128"/>
      <c r="CR99" s="128"/>
      <c r="CS99" s="128"/>
      <c r="CT99" s="128"/>
      <c r="CU99" s="128"/>
      <c r="CV99" s="128"/>
      <c r="CW99" s="128"/>
      <c r="CX99" s="128"/>
      <c r="CY99" s="128"/>
      <c r="CZ99" s="128"/>
    </row>
    <row r="100" spans="1:104" s="431" customFormat="1" ht="24.6" customHeight="1">
      <c r="A100" s="432">
        <v>10</v>
      </c>
      <c r="B100" s="454" t="s">
        <v>834</v>
      </c>
      <c r="C100" s="454"/>
      <c r="D100" s="454"/>
      <c r="E100" s="135"/>
      <c r="F100" s="135"/>
      <c r="G100" s="135"/>
      <c r="H100" s="135"/>
      <c r="I100" s="135"/>
      <c r="J100" s="135"/>
      <c r="K100" s="135"/>
      <c r="L100" s="135"/>
      <c r="M100" s="135"/>
      <c r="N100" s="135"/>
      <c r="O100" s="716"/>
      <c r="P100" s="716"/>
      <c r="Q100" s="716"/>
      <c r="R100" s="716"/>
      <c r="S100" s="716"/>
      <c r="T100" s="716"/>
      <c r="U100" s="716"/>
      <c r="V100" s="135"/>
      <c r="W100" s="135"/>
      <c r="X100" s="135"/>
      <c r="Y100" s="135"/>
      <c r="Z100" s="135"/>
      <c r="AA100" s="135"/>
      <c r="AB100" s="135"/>
      <c r="AC100" s="135"/>
      <c r="AD100" s="135"/>
      <c r="AE100" s="135"/>
      <c r="AF100" s="135"/>
      <c r="AG100" s="135"/>
      <c r="AH100" s="135"/>
      <c r="AI100" s="135"/>
      <c r="AJ100" s="135"/>
      <c r="AK100" s="135"/>
      <c r="AL100" s="135"/>
      <c r="AM100" s="135">
        <v>3</v>
      </c>
      <c r="AN100" s="135"/>
      <c r="AO100" s="135"/>
      <c r="AP100" s="135"/>
      <c r="AQ100" s="135"/>
      <c r="AR100" s="135"/>
      <c r="AS100" s="135"/>
      <c r="AT100" s="716"/>
      <c r="AU100" s="135"/>
      <c r="AV100" s="135"/>
      <c r="AW100" s="135"/>
      <c r="AX100" s="135"/>
      <c r="AY100" s="135"/>
      <c r="AZ100" s="135"/>
      <c r="BA100" s="135"/>
      <c r="BB100" s="135"/>
      <c r="BC100" s="135"/>
      <c r="BD100" s="135"/>
      <c r="BE100" s="135"/>
      <c r="BF100" s="135"/>
      <c r="BG100" s="135"/>
      <c r="BH100" s="135"/>
      <c r="BI100" s="135"/>
      <c r="BJ100" s="135"/>
      <c r="BK100" s="135"/>
      <c r="BL100" s="135"/>
      <c r="BM100" s="135"/>
      <c r="BN100" s="135"/>
      <c r="BO100" s="135"/>
      <c r="BP100" s="135"/>
      <c r="BQ100" s="135"/>
      <c r="BR100" s="135"/>
      <c r="BS100" s="135"/>
      <c r="BT100" s="135"/>
      <c r="BU100" s="135"/>
      <c r="BV100" s="135"/>
      <c r="BW100" s="135"/>
      <c r="BX100" s="135"/>
      <c r="BY100" s="135"/>
      <c r="BZ100" s="135"/>
      <c r="CA100" s="135"/>
      <c r="CB100" s="700"/>
      <c r="CC100" s="700"/>
      <c r="CD100" s="700"/>
      <c r="CE100" s="700"/>
      <c r="CF100" s="700"/>
      <c r="CG100" s="128"/>
      <c r="CH100" s="128"/>
      <c r="CI100" s="128"/>
      <c r="CJ100" s="128"/>
      <c r="CK100" s="128"/>
      <c r="CL100" s="128"/>
      <c r="CM100" s="128"/>
      <c r="CN100" s="128"/>
      <c r="CO100" s="128"/>
      <c r="CP100" s="128"/>
      <c r="CQ100" s="128"/>
      <c r="CR100" s="128"/>
      <c r="CS100" s="128"/>
      <c r="CT100" s="128"/>
      <c r="CU100" s="128"/>
      <c r="CV100" s="128"/>
      <c r="CW100" s="128"/>
      <c r="CX100" s="128"/>
      <c r="CY100" s="128"/>
      <c r="CZ100" s="128"/>
    </row>
    <row r="101" spans="1:104" s="431" customFormat="1" ht="24.6" customHeight="1">
      <c r="A101" s="432">
        <v>11</v>
      </c>
      <c r="B101" s="454" t="s">
        <v>835</v>
      </c>
      <c r="C101" s="454"/>
      <c r="D101" s="454"/>
      <c r="E101" s="135"/>
      <c r="F101" s="135"/>
      <c r="G101" s="135"/>
      <c r="H101" s="135"/>
      <c r="I101" s="135"/>
      <c r="J101" s="135"/>
      <c r="K101" s="135"/>
      <c r="L101" s="135"/>
      <c r="M101" s="135"/>
      <c r="N101" s="135"/>
      <c r="O101" s="716"/>
      <c r="P101" s="716"/>
      <c r="Q101" s="716"/>
      <c r="R101" s="716"/>
      <c r="S101" s="716"/>
      <c r="T101" s="716"/>
      <c r="U101" s="716"/>
      <c r="V101" s="135"/>
      <c r="W101" s="135"/>
      <c r="X101" s="135"/>
      <c r="Y101" s="135"/>
      <c r="Z101" s="135"/>
      <c r="AA101" s="135"/>
      <c r="AB101" s="135"/>
      <c r="AC101" s="135"/>
      <c r="AD101" s="135"/>
      <c r="AE101" s="135"/>
      <c r="AF101" s="135"/>
      <c r="AG101" s="135"/>
      <c r="AH101" s="135"/>
      <c r="AI101" s="135"/>
      <c r="AJ101" s="135"/>
      <c r="AK101" s="135"/>
      <c r="AL101" s="135"/>
      <c r="AM101" s="135">
        <v>1</v>
      </c>
      <c r="AN101" s="135"/>
      <c r="AO101" s="135"/>
      <c r="AP101" s="135"/>
      <c r="AQ101" s="135"/>
      <c r="AR101" s="135"/>
      <c r="AS101" s="135"/>
      <c r="AT101" s="716"/>
      <c r="AU101" s="135"/>
      <c r="AV101" s="135"/>
      <c r="AW101" s="135"/>
      <c r="AX101" s="135"/>
      <c r="AY101" s="135"/>
      <c r="AZ101" s="135"/>
      <c r="BA101" s="135"/>
      <c r="BB101" s="135"/>
      <c r="BC101" s="135"/>
      <c r="BD101" s="135"/>
      <c r="BE101" s="135"/>
      <c r="BF101" s="135"/>
      <c r="BG101" s="135"/>
      <c r="BH101" s="135"/>
      <c r="BI101" s="135"/>
      <c r="BJ101" s="135"/>
      <c r="BK101" s="135"/>
      <c r="BL101" s="135"/>
      <c r="BM101" s="135"/>
      <c r="BN101" s="135"/>
      <c r="BO101" s="135"/>
      <c r="BP101" s="135"/>
      <c r="BQ101" s="135"/>
      <c r="BR101" s="135"/>
      <c r="BS101" s="135"/>
      <c r="BT101" s="135"/>
      <c r="BU101" s="135"/>
      <c r="BV101" s="135"/>
      <c r="BW101" s="135"/>
      <c r="BX101" s="135"/>
      <c r="BY101" s="135"/>
      <c r="BZ101" s="135"/>
      <c r="CA101" s="135"/>
      <c r="CB101" s="700"/>
      <c r="CC101" s="700"/>
      <c r="CD101" s="700"/>
      <c r="CE101" s="700"/>
      <c r="CF101" s="700"/>
      <c r="CG101" s="128"/>
      <c r="CH101" s="128"/>
      <c r="CI101" s="128"/>
      <c r="CJ101" s="128"/>
      <c r="CK101" s="128"/>
      <c r="CL101" s="128"/>
      <c r="CM101" s="128"/>
      <c r="CN101" s="128"/>
      <c r="CO101" s="128"/>
      <c r="CP101" s="128"/>
      <c r="CQ101" s="128"/>
      <c r="CR101" s="128"/>
      <c r="CS101" s="128"/>
      <c r="CT101" s="128"/>
      <c r="CU101" s="128"/>
      <c r="CV101" s="128"/>
      <c r="CW101" s="128"/>
      <c r="CX101" s="128"/>
      <c r="CY101" s="128"/>
      <c r="CZ101" s="128"/>
    </row>
    <row r="102" spans="1:104" s="431" customFormat="1" ht="24.6" customHeight="1">
      <c r="A102" s="432">
        <v>12</v>
      </c>
      <c r="B102" s="454" t="s">
        <v>836</v>
      </c>
      <c r="C102" s="454"/>
      <c r="D102" s="454"/>
      <c r="E102" s="135"/>
      <c r="F102" s="135"/>
      <c r="G102" s="135"/>
      <c r="H102" s="135"/>
      <c r="I102" s="135"/>
      <c r="J102" s="135"/>
      <c r="K102" s="135"/>
      <c r="L102" s="135"/>
      <c r="M102" s="135"/>
      <c r="N102" s="135"/>
      <c r="O102" s="716"/>
      <c r="P102" s="716"/>
      <c r="Q102" s="716"/>
      <c r="R102" s="716"/>
      <c r="S102" s="716"/>
      <c r="T102" s="716"/>
      <c r="U102" s="716"/>
      <c r="V102" s="135"/>
      <c r="W102" s="135"/>
      <c r="X102" s="135"/>
      <c r="Y102" s="135"/>
      <c r="Z102" s="135"/>
      <c r="AA102" s="135"/>
      <c r="AB102" s="135"/>
      <c r="AC102" s="135"/>
      <c r="AD102" s="135"/>
      <c r="AE102" s="135"/>
      <c r="AF102" s="135"/>
      <c r="AG102" s="135"/>
      <c r="AH102" s="135"/>
      <c r="AI102" s="135"/>
      <c r="AJ102" s="135"/>
      <c r="AK102" s="135"/>
      <c r="AL102" s="135"/>
      <c r="AM102" s="135">
        <v>9</v>
      </c>
      <c r="AN102" s="135"/>
      <c r="AO102" s="135"/>
      <c r="AP102" s="135"/>
      <c r="AQ102" s="135"/>
      <c r="AR102" s="135"/>
      <c r="AS102" s="135"/>
      <c r="AT102" s="716"/>
      <c r="AU102" s="135"/>
      <c r="AV102" s="135"/>
      <c r="AW102" s="135"/>
      <c r="AX102" s="135"/>
      <c r="AY102" s="135"/>
      <c r="AZ102" s="135"/>
      <c r="BA102" s="135"/>
      <c r="BB102" s="135"/>
      <c r="BC102" s="135"/>
      <c r="BD102" s="135"/>
      <c r="BE102" s="135"/>
      <c r="BF102" s="135"/>
      <c r="BG102" s="135"/>
      <c r="BH102" s="135"/>
      <c r="BI102" s="135"/>
      <c r="BJ102" s="135"/>
      <c r="BK102" s="135"/>
      <c r="BL102" s="135"/>
      <c r="BM102" s="135"/>
      <c r="BN102" s="135"/>
      <c r="BO102" s="135"/>
      <c r="BP102" s="135"/>
      <c r="BQ102" s="135"/>
      <c r="BR102" s="135"/>
      <c r="BS102" s="135"/>
      <c r="BT102" s="135"/>
      <c r="BU102" s="135"/>
      <c r="BV102" s="135"/>
      <c r="BW102" s="135"/>
      <c r="BX102" s="135"/>
      <c r="BY102" s="135"/>
      <c r="BZ102" s="135"/>
      <c r="CA102" s="135"/>
      <c r="CB102" s="700"/>
      <c r="CC102" s="700"/>
      <c r="CD102" s="700"/>
      <c r="CE102" s="700"/>
      <c r="CF102" s="700"/>
      <c r="CG102" s="128"/>
      <c r="CH102" s="128"/>
      <c r="CI102" s="128"/>
      <c r="CJ102" s="128"/>
      <c r="CK102" s="128"/>
      <c r="CL102" s="128"/>
      <c r="CM102" s="128"/>
      <c r="CN102" s="128"/>
      <c r="CO102" s="128"/>
      <c r="CP102" s="128"/>
      <c r="CQ102" s="128"/>
      <c r="CR102" s="128"/>
      <c r="CS102" s="128"/>
      <c r="CT102" s="128"/>
      <c r="CU102" s="128"/>
      <c r="CV102" s="128"/>
      <c r="CW102" s="128"/>
      <c r="CX102" s="128"/>
      <c r="CY102" s="128"/>
      <c r="CZ102" s="128"/>
    </row>
    <row r="103" spans="1:104" s="431" customFormat="1" ht="24.6" customHeight="1">
      <c r="A103" s="432">
        <v>13</v>
      </c>
      <c r="B103" s="454" t="s">
        <v>837</v>
      </c>
      <c r="C103" s="454"/>
      <c r="D103" s="454"/>
      <c r="E103" s="135"/>
      <c r="F103" s="135"/>
      <c r="G103" s="135"/>
      <c r="H103" s="135"/>
      <c r="I103" s="135"/>
      <c r="J103" s="135"/>
      <c r="K103" s="135"/>
      <c r="L103" s="135"/>
      <c r="M103" s="135"/>
      <c r="N103" s="135"/>
      <c r="O103" s="716"/>
      <c r="P103" s="716"/>
      <c r="Q103" s="716"/>
      <c r="R103" s="716"/>
      <c r="S103" s="716"/>
      <c r="T103" s="716"/>
      <c r="U103" s="716"/>
      <c r="V103" s="135"/>
      <c r="W103" s="135"/>
      <c r="X103" s="135"/>
      <c r="Y103" s="135"/>
      <c r="Z103" s="135"/>
      <c r="AA103" s="135"/>
      <c r="AB103" s="135"/>
      <c r="AC103" s="135"/>
      <c r="AD103" s="135"/>
      <c r="AE103" s="135"/>
      <c r="AF103" s="135"/>
      <c r="AG103" s="135"/>
      <c r="AH103" s="135"/>
      <c r="AI103" s="135"/>
      <c r="AJ103" s="135"/>
      <c r="AK103" s="135"/>
      <c r="AL103" s="135"/>
      <c r="AM103" s="135">
        <v>7</v>
      </c>
      <c r="AN103" s="135"/>
      <c r="AO103" s="135"/>
      <c r="AP103" s="135"/>
      <c r="AQ103" s="135"/>
      <c r="AR103" s="135"/>
      <c r="AS103" s="135"/>
      <c r="AT103" s="716"/>
      <c r="AU103" s="135"/>
      <c r="AV103" s="135"/>
      <c r="AW103" s="135"/>
      <c r="AX103" s="135"/>
      <c r="AY103" s="135"/>
      <c r="AZ103" s="135"/>
      <c r="BA103" s="135"/>
      <c r="BB103" s="135"/>
      <c r="BC103" s="135"/>
      <c r="BD103" s="135"/>
      <c r="BE103" s="135"/>
      <c r="BF103" s="135"/>
      <c r="BG103" s="135"/>
      <c r="BH103" s="135"/>
      <c r="BI103" s="135"/>
      <c r="BJ103" s="135"/>
      <c r="BK103" s="135"/>
      <c r="BL103" s="135"/>
      <c r="BM103" s="135"/>
      <c r="BN103" s="135"/>
      <c r="BO103" s="135"/>
      <c r="BP103" s="135"/>
      <c r="BQ103" s="135"/>
      <c r="BR103" s="135"/>
      <c r="BS103" s="135"/>
      <c r="BT103" s="135"/>
      <c r="BU103" s="135"/>
      <c r="BV103" s="135"/>
      <c r="BW103" s="135"/>
      <c r="BX103" s="135"/>
      <c r="BY103" s="135"/>
      <c r="BZ103" s="135"/>
      <c r="CA103" s="135"/>
      <c r="CB103" s="700"/>
      <c r="CC103" s="700"/>
      <c r="CD103" s="700"/>
      <c r="CE103" s="700"/>
      <c r="CF103" s="700"/>
      <c r="CG103" s="128"/>
      <c r="CH103" s="128"/>
      <c r="CI103" s="128"/>
      <c r="CJ103" s="128"/>
      <c r="CK103" s="128"/>
      <c r="CL103" s="128"/>
      <c r="CM103" s="128"/>
      <c r="CN103" s="128"/>
      <c r="CO103" s="128"/>
      <c r="CP103" s="128"/>
      <c r="CQ103" s="128"/>
      <c r="CR103" s="128"/>
      <c r="CS103" s="128"/>
      <c r="CT103" s="128"/>
      <c r="CU103" s="128"/>
      <c r="CV103" s="128"/>
      <c r="CW103" s="128"/>
      <c r="CX103" s="128"/>
      <c r="CY103" s="128"/>
      <c r="CZ103" s="128"/>
    </row>
    <row r="104" spans="1:104" s="431" customFormat="1" ht="24.6" customHeight="1">
      <c r="A104" s="432">
        <v>14</v>
      </c>
      <c r="B104" s="454" t="s">
        <v>838</v>
      </c>
      <c r="C104" s="454"/>
      <c r="D104" s="454"/>
      <c r="E104" s="135"/>
      <c r="F104" s="135"/>
      <c r="G104" s="135"/>
      <c r="H104" s="135"/>
      <c r="I104" s="135"/>
      <c r="J104" s="135"/>
      <c r="K104" s="135"/>
      <c r="L104" s="135"/>
      <c r="M104" s="135"/>
      <c r="N104" s="135"/>
      <c r="O104" s="716"/>
      <c r="P104" s="716"/>
      <c r="Q104" s="716"/>
      <c r="R104" s="716"/>
      <c r="S104" s="716"/>
      <c r="T104" s="716"/>
      <c r="U104" s="716"/>
      <c r="V104" s="135"/>
      <c r="W104" s="135"/>
      <c r="X104" s="135"/>
      <c r="Y104" s="135"/>
      <c r="Z104" s="135"/>
      <c r="AA104" s="135"/>
      <c r="AB104" s="135"/>
      <c r="AC104" s="135"/>
      <c r="AD104" s="135"/>
      <c r="AE104" s="135"/>
      <c r="AF104" s="135"/>
      <c r="AG104" s="135"/>
      <c r="AH104" s="135"/>
      <c r="AI104" s="135"/>
      <c r="AJ104" s="135"/>
      <c r="AK104" s="135"/>
      <c r="AL104" s="135"/>
      <c r="AM104" s="135">
        <v>4</v>
      </c>
      <c r="AN104" s="135"/>
      <c r="AO104" s="135"/>
      <c r="AP104" s="135"/>
      <c r="AQ104" s="135"/>
      <c r="AR104" s="135"/>
      <c r="AS104" s="135"/>
      <c r="AT104" s="716"/>
      <c r="AU104" s="135"/>
      <c r="AV104" s="135"/>
      <c r="AW104" s="135"/>
      <c r="AX104" s="135"/>
      <c r="AY104" s="135"/>
      <c r="AZ104" s="135"/>
      <c r="BA104" s="135"/>
      <c r="BB104" s="135"/>
      <c r="BC104" s="135"/>
      <c r="BD104" s="135"/>
      <c r="BE104" s="135"/>
      <c r="BF104" s="135"/>
      <c r="BG104" s="135"/>
      <c r="BH104" s="135"/>
      <c r="BI104" s="135"/>
      <c r="BJ104" s="135"/>
      <c r="BK104" s="135"/>
      <c r="BL104" s="135"/>
      <c r="BM104" s="135"/>
      <c r="BN104" s="135"/>
      <c r="BO104" s="135"/>
      <c r="BP104" s="135"/>
      <c r="BQ104" s="135"/>
      <c r="BR104" s="135"/>
      <c r="BS104" s="135"/>
      <c r="BT104" s="135"/>
      <c r="BU104" s="135"/>
      <c r="BV104" s="135"/>
      <c r="BW104" s="135"/>
      <c r="BX104" s="135"/>
      <c r="BY104" s="135"/>
      <c r="BZ104" s="135"/>
      <c r="CA104" s="135"/>
      <c r="CB104" s="700"/>
      <c r="CC104" s="700"/>
      <c r="CD104" s="700"/>
      <c r="CE104" s="700"/>
      <c r="CF104" s="700"/>
      <c r="CG104" s="128"/>
      <c r="CH104" s="128"/>
      <c r="CI104" s="128"/>
      <c r="CJ104" s="128"/>
      <c r="CK104" s="128"/>
      <c r="CL104" s="128"/>
      <c r="CM104" s="128"/>
      <c r="CN104" s="128"/>
      <c r="CO104" s="128"/>
      <c r="CP104" s="128"/>
      <c r="CQ104" s="128"/>
      <c r="CR104" s="128"/>
      <c r="CS104" s="128"/>
      <c r="CT104" s="128"/>
      <c r="CU104" s="128"/>
      <c r="CV104" s="128"/>
      <c r="CW104" s="128"/>
      <c r="CX104" s="128"/>
      <c r="CY104" s="128"/>
      <c r="CZ104" s="128"/>
    </row>
    <row r="105" spans="1:104" s="431" customFormat="1" ht="24.6" customHeight="1">
      <c r="A105" s="432">
        <v>15</v>
      </c>
      <c r="B105" s="454" t="s">
        <v>839</v>
      </c>
      <c r="C105" s="454"/>
      <c r="D105" s="454"/>
      <c r="E105" s="135"/>
      <c r="F105" s="135"/>
      <c r="G105" s="135"/>
      <c r="H105" s="135"/>
      <c r="I105" s="135"/>
      <c r="J105" s="135"/>
      <c r="K105" s="135"/>
      <c r="L105" s="135"/>
      <c r="M105" s="135"/>
      <c r="N105" s="135"/>
      <c r="O105" s="716"/>
      <c r="P105" s="716"/>
      <c r="Q105" s="716"/>
      <c r="R105" s="716"/>
      <c r="S105" s="716"/>
      <c r="T105" s="716"/>
      <c r="U105" s="716"/>
      <c r="V105" s="135"/>
      <c r="W105" s="135"/>
      <c r="X105" s="135"/>
      <c r="Y105" s="135"/>
      <c r="Z105" s="135"/>
      <c r="AA105" s="135"/>
      <c r="AB105" s="135"/>
      <c r="AC105" s="135"/>
      <c r="AD105" s="135"/>
      <c r="AE105" s="135"/>
      <c r="AF105" s="135"/>
      <c r="AG105" s="135"/>
      <c r="AH105" s="135"/>
      <c r="AI105" s="135"/>
      <c r="AJ105" s="135"/>
      <c r="AK105" s="135"/>
      <c r="AL105" s="135"/>
      <c r="AM105" s="135">
        <v>6</v>
      </c>
      <c r="AN105" s="135"/>
      <c r="AO105" s="135"/>
      <c r="AP105" s="135"/>
      <c r="AQ105" s="135"/>
      <c r="AR105" s="135"/>
      <c r="AS105" s="135"/>
      <c r="AT105" s="716"/>
      <c r="AU105" s="135"/>
      <c r="AV105" s="135"/>
      <c r="AW105" s="135"/>
      <c r="AX105" s="135"/>
      <c r="AY105" s="135"/>
      <c r="AZ105" s="135"/>
      <c r="BA105" s="135"/>
      <c r="BB105" s="135"/>
      <c r="BC105" s="135"/>
      <c r="BD105" s="135"/>
      <c r="BE105" s="135"/>
      <c r="BF105" s="135"/>
      <c r="BG105" s="135"/>
      <c r="BH105" s="135"/>
      <c r="BI105" s="135"/>
      <c r="BJ105" s="135"/>
      <c r="BK105" s="135"/>
      <c r="BL105" s="135"/>
      <c r="BM105" s="135"/>
      <c r="BN105" s="135"/>
      <c r="BO105" s="135"/>
      <c r="BP105" s="135"/>
      <c r="BQ105" s="135"/>
      <c r="BR105" s="135"/>
      <c r="BS105" s="135"/>
      <c r="BT105" s="135"/>
      <c r="BU105" s="135"/>
      <c r="BV105" s="135"/>
      <c r="BW105" s="135"/>
      <c r="BX105" s="135"/>
      <c r="BY105" s="135"/>
      <c r="BZ105" s="135"/>
      <c r="CA105" s="135"/>
      <c r="CB105" s="700"/>
      <c r="CC105" s="700"/>
      <c r="CD105" s="700"/>
      <c r="CE105" s="700"/>
      <c r="CF105" s="700"/>
      <c r="CG105" s="128"/>
      <c r="CH105" s="128"/>
      <c r="CI105" s="128"/>
      <c r="CJ105" s="128"/>
      <c r="CK105" s="128"/>
      <c r="CL105" s="128"/>
      <c r="CM105" s="128"/>
      <c r="CN105" s="128"/>
      <c r="CO105" s="128"/>
      <c r="CP105" s="128"/>
      <c r="CQ105" s="128"/>
      <c r="CR105" s="128"/>
      <c r="CS105" s="128"/>
      <c r="CT105" s="128"/>
      <c r="CU105" s="128"/>
      <c r="CV105" s="128"/>
      <c r="CW105" s="128"/>
      <c r="CX105" s="128"/>
      <c r="CY105" s="128"/>
      <c r="CZ105" s="128"/>
    </row>
    <row r="106" spans="1:104" s="431" customFormat="1" ht="24.6" customHeight="1">
      <c r="A106" s="432">
        <v>16</v>
      </c>
      <c r="B106" s="454" t="s">
        <v>840</v>
      </c>
      <c r="C106" s="454"/>
      <c r="D106" s="454"/>
      <c r="E106" s="135"/>
      <c r="F106" s="135"/>
      <c r="G106" s="135"/>
      <c r="H106" s="135"/>
      <c r="I106" s="135"/>
      <c r="J106" s="135"/>
      <c r="K106" s="135"/>
      <c r="L106" s="135"/>
      <c r="M106" s="135"/>
      <c r="N106" s="135"/>
      <c r="O106" s="716"/>
      <c r="P106" s="716"/>
      <c r="Q106" s="716"/>
      <c r="R106" s="716"/>
      <c r="S106" s="716"/>
      <c r="T106" s="716"/>
      <c r="U106" s="716"/>
      <c r="V106" s="135"/>
      <c r="W106" s="135"/>
      <c r="X106" s="135"/>
      <c r="Y106" s="135"/>
      <c r="Z106" s="135"/>
      <c r="AA106" s="135"/>
      <c r="AB106" s="135"/>
      <c r="AC106" s="135"/>
      <c r="AD106" s="135"/>
      <c r="AE106" s="135"/>
      <c r="AF106" s="135"/>
      <c r="AG106" s="135"/>
      <c r="AH106" s="135"/>
      <c r="AI106" s="135"/>
      <c r="AJ106" s="135"/>
      <c r="AK106" s="135"/>
      <c r="AL106" s="135"/>
      <c r="AM106" s="135">
        <v>2</v>
      </c>
      <c r="AN106" s="135"/>
      <c r="AO106" s="135"/>
      <c r="AP106" s="135"/>
      <c r="AQ106" s="135"/>
      <c r="AR106" s="135"/>
      <c r="AS106" s="135"/>
      <c r="AT106" s="716"/>
      <c r="AU106" s="135"/>
      <c r="AV106" s="135"/>
      <c r="AW106" s="135"/>
      <c r="AX106" s="135"/>
      <c r="AY106" s="135"/>
      <c r="AZ106" s="135"/>
      <c r="BA106" s="135"/>
      <c r="BB106" s="135"/>
      <c r="BC106" s="135"/>
      <c r="BD106" s="135"/>
      <c r="BE106" s="135"/>
      <c r="BF106" s="135"/>
      <c r="BG106" s="135"/>
      <c r="BH106" s="135"/>
      <c r="BI106" s="135"/>
      <c r="BJ106" s="135"/>
      <c r="BK106" s="135"/>
      <c r="BL106" s="135"/>
      <c r="BM106" s="135"/>
      <c r="BN106" s="135"/>
      <c r="BO106" s="135"/>
      <c r="BP106" s="135"/>
      <c r="BQ106" s="135"/>
      <c r="BR106" s="135"/>
      <c r="BS106" s="135"/>
      <c r="BT106" s="135"/>
      <c r="BU106" s="135"/>
      <c r="BV106" s="135"/>
      <c r="BW106" s="135"/>
      <c r="BX106" s="135"/>
      <c r="BY106" s="135"/>
      <c r="BZ106" s="135"/>
      <c r="CA106" s="135"/>
      <c r="CB106" s="700"/>
      <c r="CC106" s="700"/>
      <c r="CD106" s="700"/>
      <c r="CE106" s="700"/>
      <c r="CF106" s="700"/>
      <c r="CG106" s="128"/>
      <c r="CH106" s="128"/>
      <c r="CI106" s="128"/>
      <c r="CJ106" s="128"/>
      <c r="CK106" s="128"/>
      <c r="CL106" s="128"/>
      <c r="CM106" s="128"/>
      <c r="CN106" s="128"/>
      <c r="CO106" s="128"/>
      <c r="CP106" s="128"/>
      <c r="CQ106" s="128"/>
      <c r="CR106" s="128"/>
      <c r="CS106" s="128"/>
      <c r="CT106" s="128"/>
      <c r="CU106" s="128"/>
      <c r="CV106" s="128"/>
      <c r="CW106" s="128"/>
      <c r="CX106" s="128"/>
      <c r="CY106" s="128"/>
      <c r="CZ106" s="128"/>
    </row>
    <row r="107" spans="1:104" s="431" customFormat="1" ht="24.6" customHeight="1">
      <c r="A107" s="432">
        <v>17</v>
      </c>
      <c r="B107" s="454" t="s">
        <v>841</v>
      </c>
      <c r="C107" s="454"/>
      <c r="D107" s="454"/>
      <c r="E107" s="135"/>
      <c r="F107" s="135"/>
      <c r="G107" s="135"/>
      <c r="H107" s="135"/>
      <c r="I107" s="135"/>
      <c r="J107" s="135"/>
      <c r="K107" s="135"/>
      <c r="L107" s="135"/>
      <c r="M107" s="135"/>
      <c r="N107" s="135"/>
      <c r="O107" s="716"/>
      <c r="P107" s="716"/>
      <c r="Q107" s="716"/>
      <c r="R107" s="716"/>
      <c r="S107" s="716"/>
      <c r="T107" s="716"/>
      <c r="U107" s="716"/>
      <c r="V107" s="135"/>
      <c r="W107" s="135"/>
      <c r="X107" s="135"/>
      <c r="Y107" s="135"/>
      <c r="Z107" s="135"/>
      <c r="AA107" s="135"/>
      <c r="AB107" s="135"/>
      <c r="AC107" s="135"/>
      <c r="AD107" s="135"/>
      <c r="AE107" s="135"/>
      <c r="AF107" s="135"/>
      <c r="AG107" s="135"/>
      <c r="AH107" s="135"/>
      <c r="AI107" s="135"/>
      <c r="AJ107" s="135"/>
      <c r="AK107" s="135"/>
      <c r="AL107" s="135"/>
      <c r="AM107" s="135">
        <v>6</v>
      </c>
      <c r="AN107" s="135"/>
      <c r="AO107" s="135"/>
      <c r="AP107" s="135"/>
      <c r="AQ107" s="135"/>
      <c r="AR107" s="135"/>
      <c r="AS107" s="135"/>
      <c r="AT107" s="716"/>
      <c r="AU107" s="135"/>
      <c r="AV107" s="135"/>
      <c r="AW107" s="135"/>
      <c r="AX107" s="135"/>
      <c r="AY107" s="135"/>
      <c r="AZ107" s="135"/>
      <c r="BA107" s="135"/>
      <c r="BB107" s="135"/>
      <c r="BC107" s="135"/>
      <c r="BD107" s="135"/>
      <c r="BE107" s="135"/>
      <c r="BF107" s="135"/>
      <c r="BG107" s="135"/>
      <c r="BH107" s="135"/>
      <c r="BI107" s="135"/>
      <c r="BJ107" s="135"/>
      <c r="BK107" s="135"/>
      <c r="BL107" s="135"/>
      <c r="BM107" s="135"/>
      <c r="BN107" s="135"/>
      <c r="BO107" s="135"/>
      <c r="BP107" s="135"/>
      <c r="BQ107" s="135"/>
      <c r="BR107" s="135"/>
      <c r="BS107" s="135"/>
      <c r="BT107" s="135"/>
      <c r="BU107" s="135"/>
      <c r="BV107" s="135"/>
      <c r="BW107" s="135"/>
      <c r="BX107" s="135"/>
      <c r="BY107" s="135"/>
      <c r="BZ107" s="135"/>
      <c r="CA107" s="135"/>
      <c r="CB107" s="700"/>
      <c r="CC107" s="700"/>
      <c r="CD107" s="700"/>
      <c r="CE107" s="700"/>
      <c r="CF107" s="700"/>
      <c r="CG107" s="128"/>
      <c r="CH107" s="128"/>
      <c r="CI107" s="128"/>
      <c r="CJ107" s="128"/>
      <c r="CK107" s="128"/>
      <c r="CL107" s="128"/>
      <c r="CM107" s="128"/>
      <c r="CN107" s="128"/>
      <c r="CO107" s="128"/>
      <c r="CP107" s="128"/>
      <c r="CQ107" s="128"/>
      <c r="CR107" s="128"/>
      <c r="CS107" s="128"/>
      <c r="CT107" s="128"/>
      <c r="CU107" s="128"/>
      <c r="CV107" s="128"/>
      <c r="CW107" s="128"/>
      <c r="CX107" s="128"/>
      <c r="CY107" s="128"/>
      <c r="CZ107" s="128"/>
    </row>
    <row r="108" spans="1:104" s="431" customFormat="1" ht="24.6" customHeight="1">
      <c r="A108" s="432">
        <v>18</v>
      </c>
      <c r="B108" s="454" t="s">
        <v>842</v>
      </c>
      <c r="C108" s="454"/>
      <c r="D108" s="454"/>
      <c r="E108" s="135"/>
      <c r="F108" s="135"/>
      <c r="G108" s="135"/>
      <c r="H108" s="135"/>
      <c r="I108" s="135"/>
      <c r="J108" s="135"/>
      <c r="K108" s="135"/>
      <c r="L108" s="135"/>
      <c r="M108" s="135"/>
      <c r="N108" s="135"/>
      <c r="O108" s="716"/>
      <c r="P108" s="716"/>
      <c r="Q108" s="716"/>
      <c r="R108" s="716"/>
      <c r="S108" s="716"/>
      <c r="T108" s="716"/>
      <c r="U108" s="716"/>
      <c r="V108" s="135"/>
      <c r="W108" s="135"/>
      <c r="X108" s="135"/>
      <c r="Y108" s="135"/>
      <c r="Z108" s="135"/>
      <c r="AA108" s="135"/>
      <c r="AB108" s="135"/>
      <c r="AC108" s="135"/>
      <c r="AD108" s="135"/>
      <c r="AE108" s="135"/>
      <c r="AF108" s="135"/>
      <c r="AG108" s="135"/>
      <c r="AH108" s="135"/>
      <c r="AI108" s="135"/>
      <c r="AJ108" s="135"/>
      <c r="AK108" s="135"/>
      <c r="AL108" s="135"/>
      <c r="AM108" s="135"/>
      <c r="AN108" s="135"/>
      <c r="AO108" s="135"/>
      <c r="AP108" s="135"/>
      <c r="AQ108" s="135"/>
      <c r="AR108" s="135"/>
      <c r="AS108" s="135">
        <v>1</v>
      </c>
      <c r="AT108" s="716"/>
      <c r="AU108" s="135"/>
      <c r="AV108" s="135"/>
      <c r="AW108" s="135"/>
      <c r="AX108" s="135"/>
      <c r="AY108" s="135"/>
      <c r="AZ108" s="135"/>
      <c r="BA108" s="135"/>
      <c r="BB108" s="135"/>
      <c r="BC108" s="135"/>
      <c r="BD108" s="135"/>
      <c r="BE108" s="135"/>
      <c r="BF108" s="135"/>
      <c r="BG108" s="135"/>
      <c r="BH108" s="135"/>
      <c r="BI108" s="135"/>
      <c r="BJ108" s="135"/>
      <c r="BK108" s="135"/>
      <c r="BL108" s="135"/>
      <c r="BM108" s="135"/>
      <c r="BN108" s="135"/>
      <c r="BO108" s="135"/>
      <c r="BP108" s="135"/>
      <c r="BQ108" s="135"/>
      <c r="BR108" s="135"/>
      <c r="BS108" s="135"/>
      <c r="BT108" s="135"/>
      <c r="BU108" s="135"/>
      <c r="BV108" s="135"/>
      <c r="BW108" s="135"/>
      <c r="BX108" s="135"/>
      <c r="BY108" s="135"/>
      <c r="BZ108" s="135"/>
      <c r="CA108" s="135"/>
      <c r="CB108" s="700"/>
      <c r="CC108" s="700"/>
      <c r="CD108" s="700"/>
      <c r="CE108" s="700"/>
      <c r="CF108" s="700"/>
      <c r="CG108" s="128"/>
      <c r="CH108" s="128"/>
      <c r="CI108" s="128"/>
      <c r="CJ108" s="128"/>
      <c r="CK108" s="128"/>
      <c r="CL108" s="128"/>
      <c r="CM108" s="128"/>
      <c r="CN108" s="128"/>
      <c r="CO108" s="128"/>
      <c r="CP108" s="128"/>
      <c r="CQ108" s="128"/>
      <c r="CR108" s="128"/>
      <c r="CS108" s="128"/>
      <c r="CT108" s="128"/>
      <c r="CU108" s="128"/>
      <c r="CV108" s="128"/>
      <c r="CW108" s="128"/>
      <c r="CX108" s="128"/>
      <c r="CY108" s="128"/>
      <c r="CZ108" s="128"/>
    </row>
    <row r="109" spans="1:104" s="431" customFormat="1" ht="24.6" customHeight="1">
      <c r="A109" s="432">
        <v>19</v>
      </c>
      <c r="B109" s="454" t="s">
        <v>843</v>
      </c>
      <c r="C109" s="454"/>
      <c r="D109" s="454"/>
      <c r="E109" s="135"/>
      <c r="F109" s="135"/>
      <c r="G109" s="135"/>
      <c r="H109" s="135"/>
      <c r="I109" s="135"/>
      <c r="J109" s="135"/>
      <c r="K109" s="135"/>
      <c r="L109" s="135"/>
      <c r="M109" s="135"/>
      <c r="N109" s="135"/>
      <c r="O109" s="716"/>
      <c r="P109" s="716"/>
      <c r="Q109" s="716"/>
      <c r="R109" s="716"/>
      <c r="S109" s="716"/>
      <c r="T109" s="716"/>
      <c r="U109" s="716"/>
      <c r="V109" s="135"/>
      <c r="W109" s="135"/>
      <c r="X109" s="135"/>
      <c r="Y109" s="135"/>
      <c r="Z109" s="135"/>
      <c r="AA109" s="135"/>
      <c r="AB109" s="135"/>
      <c r="AC109" s="135"/>
      <c r="AD109" s="135"/>
      <c r="AE109" s="135"/>
      <c r="AF109" s="135"/>
      <c r="AG109" s="135"/>
      <c r="AH109" s="135"/>
      <c r="AI109" s="135"/>
      <c r="AJ109" s="135"/>
      <c r="AK109" s="135"/>
      <c r="AL109" s="135"/>
      <c r="AM109" s="135"/>
      <c r="AN109" s="135"/>
      <c r="AO109" s="135"/>
      <c r="AP109" s="135"/>
      <c r="AQ109" s="135"/>
      <c r="AR109" s="135"/>
      <c r="AS109" s="135">
        <v>1</v>
      </c>
      <c r="AT109" s="716"/>
      <c r="AU109" s="135"/>
      <c r="AV109" s="135"/>
      <c r="AW109" s="135"/>
      <c r="AX109" s="135"/>
      <c r="AY109" s="135"/>
      <c r="AZ109" s="135"/>
      <c r="BA109" s="135"/>
      <c r="BB109" s="135"/>
      <c r="BC109" s="135"/>
      <c r="BD109" s="135"/>
      <c r="BE109" s="135"/>
      <c r="BF109" s="135"/>
      <c r="BG109" s="135"/>
      <c r="BH109" s="135"/>
      <c r="BI109" s="135"/>
      <c r="BJ109" s="135"/>
      <c r="BK109" s="135"/>
      <c r="BL109" s="135"/>
      <c r="BM109" s="135"/>
      <c r="BN109" s="135"/>
      <c r="BO109" s="135"/>
      <c r="BP109" s="135"/>
      <c r="BQ109" s="135"/>
      <c r="BR109" s="135"/>
      <c r="BS109" s="135"/>
      <c r="BT109" s="135"/>
      <c r="BU109" s="135"/>
      <c r="BV109" s="135"/>
      <c r="BW109" s="135"/>
      <c r="BX109" s="135"/>
      <c r="BY109" s="135"/>
      <c r="BZ109" s="135"/>
      <c r="CA109" s="135"/>
      <c r="CB109" s="700"/>
      <c r="CC109" s="700"/>
      <c r="CD109" s="700"/>
      <c r="CE109" s="700"/>
      <c r="CF109" s="700"/>
      <c r="CG109" s="128"/>
      <c r="CH109" s="128"/>
      <c r="CI109" s="128"/>
      <c r="CJ109" s="128"/>
      <c r="CK109" s="128"/>
      <c r="CL109" s="128"/>
      <c r="CM109" s="128"/>
      <c r="CN109" s="128"/>
      <c r="CO109" s="128"/>
      <c r="CP109" s="128"/>
      <c r="CQ109" s="128"/>
      <c r="CR109" s="128"/>
      <c r="CS109" s="128"/>
      <c r="CT109" s="128"/>
      <c r="CU109" s="128"/>
      <c r="CV109" s="128"/>
      <c r="CW109" s="128"/>
      <c r="CX109" s="128"/>
      <c r="CY109" s="128"/>
      <c r="CZ109" s="128"/>
    </row>
    <row r="110" spans="1:104" s="431" customFormat="1" ht="24.6" customHeight="1">
      <c r="A110" s="432">
        <v>20</v>
      </c>
      <c r="B110" s="454" t="s">
        <v>589</v>
      </c>
      <c r="C110" s="454"/>
      <c r="D110" s="454"/>
      <c r="E110" s="135"/>
      <c r="F110" s="135"/>
      <c r="G110" s="135"/>
      <c r="H110" s="135"/>
      <c r="I110" s="135"/>
      <c r="J110" s="135"/>
      <c r="K110" s="135"/>
      <c r="L110" s="135"/>
      <c r="M110" s="135"/>
      <c r="N110" s="135"/>
      <c r="O110" s="716"/>
      <c r="P110" s="716"/>
      <c r="Q110" s="716"/>
      <c r="R110" s="716"/>
      <c r="S110" s="716"/>
      <c r="T110" s="716"/>
      <c r="U110" s="716"/>
      <c r="V110" s="135"/>
      <c r="W110" s="135"/>
      <c r="X110" s="135"/>
      <c r="Y110" s="135"/>
      <c r="Z110" s="135"/>
      <c r="AA110" s="135"/>
      <c r="AB110" s="135"/>
      <c r="AC110" s="135"/>
      <c r="AD110" s="135"/>
      <c r="AE110" s="135"/>
      <c r="AF110" s="135"/>
      <c r="AG110" s="135"/>
      <c r="AH110" s="135"/>
      <c r="AI110" s="135"/>
      <c r="AJ110" s="135"/>
      <c r="AK110" s="135"/>
      <c r="AL110" s="135"/>
      <c r="AM110" s="135"/>
      <c r="AN110" s="135"/>
      <c r="AO110" s="135"/>
      <c r="AP110" s="135"/>
      <c r="AQ110" s="135"/>
      <c r="AR110" s="135"/>
      <c r="AS110" s="135">
        <v>1</v>
      </c>
      <c r="AT110" s="716"/>
      <c r="AU110" s="135"/>
      <c r="AV110" s="135"/>
      <c r="AW110" s="135"/>
      <c r="AX110" s="135"/>
      <c r="AY110" s="135"/>
      <c r="AZ110" s="135"/>
      <c r="BA110" s="135"/>
      <c r="BB110" s="135"/>
      <c r="BC110" s="135"/>
      <c r="BD110" s="135"/>
      <c r="BE110" s="135"/>
      <c r="BF110" s="135"/>
      <c r="BG110" s="135"/>
      <c r="BH110" s="135"/>
      <c r="BI110" s="135"/>
      <c r="BJ110" s="135"/>
      <c r="BK110" s="135"/>
      <c r="BL110" s="135"/>
      <c r="BM110" s="135"/>
      <c r="BN110" s="135"/>
      <c r="BO110" s="135"/>
      <c r="BP110" s="135"/>
      <c r="BQ110" s="135"/>
      <c r="BR110" s="135"/>
      <c r="BS110" s="135"/>
      <c r="BT110" s="135"/>
      <c r="BU110" s="135"/>
      <c r="BV110" s="135"/>
      <c r="BW110" s="135"/>
      <c r="BX110" s="135"/>
      <c r="BY110" s="135"/>
      <c r="BZ110" s="135"/>
      <c r="CA110" s="135"/>
      <c r="CB110" s="700"/>
      <c r="CC110" s="700"/>
      <c r="CD110" s="700"/>
      <c r="CE110" s="700"/>
      <c r="CF110" s="700"/>
      <c r="CG110" s="128"/>
      <c r="CH110" s="128"/>
      <c r="CI110" s="128"/>
      <c r="CJ110" s="128"/>
      <c r="CK110" s="128"/>
      <c r="CL110" s="128"/>
      <c r="CM110" s="128"/>
      <c r="CN110" s="128"/>
      <c r="CO110" s="128"/>
      <c r="CP110" s="128"/>
      <c r="CQ110" s="128"/>
      <c r="CR110" s="128"/>
      <c r="CS110" s="128"/>
      <c r="CT110" s="128"/>
      <c r="CU110" s="128"/>
      <c r="CV110" s="128"/>
      <c r="CW110" s="128"/>
      <c r="CX110" s="128"/>
      <c r="CY110" s="128"/>
      <c r="CZ110" s="128"/>
    </row>
    <row r="111" spans="1:104" s="431" customFormat="1" ht="24.6" customHeight="1">
      <c r="A111" s="432">
        <v>21</v>
      </c>
      <c r="B111" s="454" t="s">
        <v>844</v>
      </c>
      <c r="C111" s="454"/>
      <c r="D111" s="454"/>
      <c r="E111" s="135"/>
      <c r="F111" s="135"/>
      <c r="G111" s="135"/>
      <c r="H111" s="135"/>
      <c r="I111" s="135"/>
      <c r="J111" s="135"/>
      <c r="K111" s="135"/>
      <c r="L111" s="135"/>
      <c r="M111" s="135"/>
      <c r="N111" s="135"/>
      <c r="O111" s="716"/>
      <c r="P111" s="716"/>
      <c r="Q111" s="716"/>
      <c r="R111" s="716"/>
      <c r="S111" s="716"/>
      <c r="T111" s="716"/>
      <c r="U111" s="716"/>
      <c r="V111" s="135"/>
      <c r="W111" s="135"/>
      <c r="X111" s="135"/>
      <c r="Y111" s="135"/>
      <c r="Z111" s="135"/>
      <c r="AA111" s="135"/>
      <c r="AB111" s="135"/>
      <c r="AC111" s="135"/>
      <c r="AD111" s="135"/>
      <c r="AE111" s="135"/>
      <c r="AF111" s="135"/>
      <c r="AG111" s="135"/>
      <c r="AH111" s="135"/>
      <c r="AI111" s="135"/>
      <c r="AJ111" s="135"/>
      <c r="AK111" s="135"/>
      <c r="AL111" s="135"/>
      <c r="AM111" s="135"/>
      <c r="AN111" s="135"/>
      <c r="AO111" s="135"/>
      <c r="AP111" s="135"/>
      <c r="AQ111" s="135"/>
      <c r="AR111" s="135"/>
      <c r="AS111" s="135">
        <v>1</v>
      </c>
      <c r="AT111" s="716"/>
      <c r="AU111" s="135"/>
      <c r="AV111" s="135"/>
      <c r="AW111" s="135"/>
      <c r="AX111" s="135"/>
      <c r="AY111" s="135"/>
      <c r="AZ111" s="135"/>
      <c r="BA111" s="135"/>
      <c r="BB111" s="135"/>
      <c r="BC111" s="135"/>
      <c r="BD111" s="135"/>
      <c r="BE111" s="135"/>
      <c r="BF111" s="135"/>
      <c r="BG111" s="135"/>
      <c r="BH111" s="135"/>
      <c r="BI111" s="135"/>
      <c r="BJ111" s="135"/>
      <c r="BK111" s="135"/>
      <c r="BL111" s="135"/>
      <c r="BM111" s="135"/>
      <c r="BN111" s="135"/>
      <c r="BO111" s="135"/>
      <c r="BP111" s="135"/>
      <c r="BQ111" s="135"/>
      <c r="BR111" s="135"/>
      <c r="BS111" s="135"/>
      <c r="BT111" s="135"/>
      <c r="BU111" s="135"/>
      <c r="BV111" s="135"/>
      <c r="BW111" s="135"/>
      <c r="BX111" s="135"/>
      <c r="BY111" s="135"/>
      <c r="BZ111" s="135"/>
      <c r="CA111" s="135"/>
      <c r="CB111" s="700"/>
      <c r="CC111" s="700"/>
      <c r="CD111" s="700"/>
      <c r="CE111" s="700"/>
      <c r="CF111" s="700"/>
      <c r="CG111" s="128"/>
      <c r="CH111" s="128"/>
      <c r="CI111" s="128"/>
      <c r="CJ111" s="128"/>
      <c r="CK111" s="128"/>
      <c r="CL111" s="128"/>
      <c r="CM111" s="128"/>
      <c r="CN111" s="128"/>
      <c r="CO111" s="128"/>
      <c r="CP111" s="128"/>
      <c r="CQ111" s="128"/>
      <c r="CR111" s="128"/>
      <c r="CS111" s="128"/>
      <c r="CT111" s="128"/>
      <c r="CU111" s="128"/>
      <c r="CV111" s="128"/>
      <c r="CW111" s="128"/>
      <c r="CX111" s="128"/>
      <c r="CY111" s="128"/>
      <c r="CZ111" s="128"/>
    </row>
    <row r="112" spans="1:104" s="431" customFormat="1" ht="24.6" customHeight="1">
      <c r="A112" s="432">
        <v>22</v>
      </c>
      <c r="B112" s="454" t="s">
        <v>845</v>
      </c>
      <c r="C112" s="454"/>
      <c r="D112" s="454"/>
      <c r="E112" s="135"/>
      <c r="F112" s="135"/>
      <c r="G112" s="135"/>
      <c r="H112" s="135"/>
      <c r="I112" s="135"/>
      <c r="J112" s="135"/>
      <c r="K112" s="135"/>
      <c r="L112" s="135"/>
      <c r="M112" s="135"/>
      <c r="N112" s="135"/>
      <c r="O112" s="716"/>
      <c r="P112" s="716"/>
      <c r="Q112" s="716"/>
      <c r="R112" s="716"/>
      <c r="S112" s="716"/>
      <c r="T112" s="716"/>
      <c r="U112" s="716"/>
      <c r="V112" s="135"/>
      <c r="W112" s="135"/>
      <c r="X112" s="135"/>
      <c r="Y112" s="135"/>
      <c r="Z112" s="135"/>
      <c r="AA112" s="135"/>
      <c r="AB112" s="135"/>
      <c r="AC112" s="135"/>
      <c r="AD112" s="135"/>
      <c r="AE112" s="135"/>
      <c r="AF112" s="135"/>
      <c r="AG112" s="135"/>
      <c r="AH112" s="135"/>
      <c r="AI112" s="135"/>
      <c r="AJ112" s="135"/>
      <c r="AK112" s="135"/>
      <c r="AL112" s="135"/>
      <c r="AM112" s="135"/>
      <c r="AN112" s="135"/>
      <c r="AO112" s="135"/>
      <c r="AP112" s="135"/>
      <c r="AQ112" s="135"/>
      <c r="AR112" s="135"/>
      <c r="AS112" s="135">
        <v>1</v>
      </c>
      <c r="AT112" s="716"/>
      <c r="AU112" s="135"/>
      <c r="AV112" s="135"/>
      <c r="AW112" s="135"/>
      <c r="AX112" s="135"/>
      <c r="AY112" s="135"/>
      <c r="AZ112" s="135"/>
      <c r="BA112" s="135"/>
      <c r="BB112" s="135"/>
      <c r="BC112" s="135"/>
      <c r="BD112" s="135"/>
      <c r="BE112" s="135"/>
      <c r="BF112" s="135"/>
      <c r="BG112" s="135"/>
      <c r="BH112" s="135"/>
      <c r="BI112" s="135"/>
      <c r="BJ112" s="135"/>
      <c r="BK112" s="135"/>
      <c r="BL112" s="135"/>
      <c r="BM112" s="135"/>
      <c r="BN112" s="135"/>
      <c r="BO112" s="135"/>
      <c r="BP112" s="135"/>
      <c r="BQ112" s="135"/>
      <c r="BR112" s="135"/>
      <c r="BS112" s="135"/>
      <c r="BT112" s="135"/>
      <c r="BU112" s="135"/>
      <c r="BV112" s="135"/>
      <c r="BW112" s="135"/>
      <c r="BX112" s="135"/>
      <c r="BY112" s="135"/>
      <c r="BZ112" s="135"/>
      <c r="CA112" s="135"/>
      <c r="CB112" s="700"/>
      <c r="CC112" s="700"/>
      <c r="CD112" s="700"/>
      <c r="CE112" s="700"/>
      <c r="CF112" s="700"/>
      <c r="CG112" s="128"/>
      <c r="CH112" s="128"/>
      <c r="CI112" s="128"/>
      <c r="CJ112" s="128"/>
      <c r="CK112" s="128"/>
      <c r="CL112" s="128"/>
      <c r="CM112" s="128"/>
      <c r="CN112" s="128"/>
      <c r="CO112" s="128"/>
      <c r="CP112" s="128"/>
      <c r="CQ112" s="128"/>
      <c r="CR112" s="128"/>
      <c r="CS112" s="128"/>
      <c r="CT112" s="128"/>
      <c r="CU112" s="128"/>
      <c r="CV112" s="128"/>
      <c r="CW112" s="128"/>
      <c r="CX112" s="128"/>
      <c r="CY112" s="128"/>
      <c r="CZ112" s="128"/>
    </row>
    <row r="113" spans="1:104" s="431" customFormat="1" ht="24.6" customHeight="1">
      <c r="A113" s="432">
        <v>23</v>
      </c>
      <c r="B113" s="454" t="s">
        <v>846</v>
      </c>
      <c r="C113" s="454"/>
      <c r="D113" s="454"/>
      <c r="E113" s="135"/>
      <c r="F113" s="135"/>
      <c r="G113" s="135"/>
      <c r="H113" s="135"/>
      <c r="I113" s="135"/>
      <c r="J113" s="135"/>
      <c r="K113" s="135"/>
      <c r="L113" s="135"/>
      <c r="M113" s="135"/>
      <c r="N113" s="135"/>
      <c r="O113" s="716"/>
      <c r="P113" s="716"/>
      <c r="Q113" s="716"/>
      <c r="R113" s="716"/>
      <c r="S113" s="716"/>
      <c r="T113" s="716"/>
      <c r="U113" s="716"/>
      <c r="V113" s="135"/>
      <c r="W113" s="135"/>
      <c r="X113" s="135"/>
      <c r="Y113" s="135"/>
      <c r="Z113" s="135"/>
      <c r="AA113" s="135"/>
      <c r="AB113" s="135"/>
      <c r="AC113" s="135"/>
      <c r="AD113" s="135"/>
      <c r="AE113" s="135"/>
      <c r="AF113" s="135"/>
      <c r="AG113" s="135"/>
      <c r="AH113" s="135"/>
      <c r="AI113" s="135"/>
      <c r="AJ113" s="135"/>
      <c r="AK113" s="135"/>
      <c r="AL113" s="135"/>
      <c r="AM113" s="135"/>
      <c r="AN113" s="135"/>
      <c r="AO113" s="135"/>
      <c r="AP113" s="135"/>
      <c r="AQ113" s="135"/>
      <c r="AR113" s="135"/>
      <c r="AS113" s="135">
        <v>1</v>
      </c>
      <c r="AT113" s="716"/>
      <c r="AU113" s="135"/>
      <c r="AV113" s="135"/>
      <c r="AW113" s="135"/>
      <c r="AX113" s="135"/>
      <c r="AY113" s="135"/>
      <c r="AZ113" s="135"/>
      <c r="BA113" s="135"/>
      <c r="BB113" s="135"/>
      <c r="BC113" s="135"/>
      <c r="BD113" s="135"/>
      <c r="BE113" s="135"/>
      <c r="BF113" s="135"/>
      <c r="BG113" s="135"/>
      <c r="BH113" s="135"/>
      <c r="BI113" s="135"/>
      <c r="BJ113" s="135"/>
      <c r="BK113" s="135"/>
      <c r="BL113" s="135"/>
      <c r="BM113" s="135"/>
      <c r="BN113" s="135"/>
      <c r="BO113" s="135"/>
      <c r="BP113" s="135"/>
      <c r="BQ113" s="135"/>
      <c r="BR113" s="135"/>
      <c r="BS113" s="135"/>
      <c r="BT113" s="135"/>
      <c r="BU113" s="135"/>
      <c r="BV113" s="135"/>
      <c r="BW113" s="135"/>
      <c r="BX113" s="135"/>
      <c r="BY113" s="135"/>
      <c r="BZ113" s="135"/>
      <c r="CA113" s="135"/>
      <c r="CB113" s="700"/>
      <c r="CC113" s="700"/>
      <c r="CD113" s="700"/>
      <c r="CE113" s="700"/>
      <c r="CF113" s="700"/>
      <c r="CG113" s="128"/>
      <c r="CH113" s="128"/>
      <c r="CI113" s="128"/>
      <c r="CJ113" s="128"/>
      <c r="CK113" s="128"/>
      <c r="CL113" s="128"/>
      <c r="CM113" s="128"/>
      <c r="CN113" s="128"/>
      <c r="CO113" s="128"/>
      <c r="CP113" s="128"/>
      <c r="CQ113" s="128"/>
      <c r="CR113" s="128"/>
      <c r="CS113" s="128"/>
      <c r="CT113" s="128"/>
      <c r="CU113" s="128"/>
      <c r="CV113" s="128"/>
      <c r="CW113" s="128"/>
      <c r="CX113" s="128"/>
      <c r="CY113" s="128"/>
      <c r="CZ113" s="128"/>
    </row>
    <row r="114" spans="1:104" s="431" customFormat="1" ht="24.6" customHeight="1">
      <c r="A114" s="432">
        <v>24</v>
      </c>
      <c r="B114" s="454" t="s">
        <v>847</v>
      </c>
      <c r="C114" s="454"/>
      <c r="D114" s="454"/>
      <c r="E114" s="135"/>
      <c r="F114" s="135"/>
      <c r="G114" s="135"/>
      <c r="H114" s="135"/>
      <c r="I114" s="135"/>
      <c r="J114" s="135"/>
      <c r="K114" s="135"/>
      <c r="L114" s="135"/>
      <c r="M114" s="135"/>
      <c r="N114" s="135"/>
      <c r="O114" s="716"/>
      <c r="P114" s="716"/>
      <c r="Q114" s="716"/>
      <c r="R114" s="716"/>
      <c r="S114" s="716"/>
      <c r="T114" s="716"/>
      <c r="U114" s="716"/>
      <c r="V114" s="135"/>
      <c r="W114" s="135"/>
      <c r="X114" s="135"/>
      <c r="Y114" s="135"/>
      <c r="Z114" s="135"/>
      <c r="AA114" s="135"/>
      <c r="AB114" s="135"/>
      <c r="AC114" s="135"/>
      <c r="AD114" s="135"/>
      <c r="AE114" s="135"/>
      <c r="AF114" s="135"/>
      <c r="AG114" s="135"/>
      <c r="AH114" s="135"/>
      <c r="AI114" s="135"/>
      <c r="AJ114" s="135"/>
      <c r="AK114" s="135"/>
      <c r="AL114" s="135"/>
      <c r="AM114" s="135"/>
      <c r="AN114" s="135"/>
      <c r="AO114" s="135"/>
      <c r="AP114" s="135"/>
      <c r="AQ114" s="135"/>
      <c r="AR114" s="135"/>
      <c r="AS114" s="135">
        <v>1</v>
      </c>
      <c r="AT114" s="716"/>
      <c r="AU114" s="135"/>
      <c r="AV114" s="135"/>
      <c r="AW114" s="135"/>
      <c r="AX114" s="135"/>
      <c r="AY114" s="135"/>
      <c r="AZ114" s="135"/>
      <c r="BA114" s="135"/>
      <c r="BB114" s="135"/>
      <c r="BC114" s="135"/>
      <c r="BD114" s="135"/>
      <c r="BE114" s="135"/>
      <c r="BF114" s="135"/>
      <c r="BG114" s="135"/>
      <c r="BH114" s="135"/>
      <c r="BI114" s="135"/>
      <c r="BJ114" s="135"/>
      <c r="BK114" s="135"/>
      <c r="BL114" s="135"/>
      <c r="BM114" s="135"/>
      <c r="BN114" s="135"/>
      <c r="BO114" s="135"/>
      <c r="BP114" s="135"/>
      <c r="BQ114" s="135"/>
      <c r="BR114" s="135"/>
      <c r="BS114" s="135"/>
      <c r="BT114" s="135"/>
      <c r="BU114" s="135"/>
      <c r="BV114" s="135"/>
      <c r="BW114" s="135"/>
      <c r="BX114" s="135"/>
      <c r="BY114" s="135"/>
      <c r="BZ114" s="135"/>
      <c r="CA114" s="135"/>
      <c r="CB114" s="700"/>
      <c r="CC114" s="700"/>
      <c r="CD114" s="700"/>
      <c r="CE114" s="700"/>
      <c r="CF114" s="700"/>
      <c r="CG114" s="128"/>
      <c r="CH114" s="128"/>
      <c r="CI114" s="128"/>
      <c r="CJ114" s="128"/>
      <c r="CK114" s="128"/>
      <c r="CL114" s="128"/>
      <c r="CM114" s="128"/>
      <c r="CN114" s="128"/>
      <c r="CO114" s="128"/>
      <c r="CP114" s="128"/>
      <c r="CQ114" s="128"/>
      <c r="CR114" s="128"/>
      <c r="CS114" s="128"/>
      <c r="CT114" s="128"/>
      <c r="CU114" s="128"/>
      <c r="CV114" s="128"/>
      <c r="CW114" s="128"/>
      <c r="CX114" s="128"/>
      <c r="CY114" s="128"/>
      <c r="CZ114" s="128"/>
    </row>
    <row r="115" spans="1:104" s="431" customFormat="1" ht="24.6" customHeight="1">
      <c r="A115" s="432">
        <v>25</v>
      </c>
      <c r="B115" s="454" t="s">
        <v>848</v>
      </c>
      <c r="C115" s="454"/>
      <c r="D115" s="454"/>
      <c r="E115" s="135"/>
      <c r="F115" s="135"/>
      <c r="G115" s="135"/>
      <c r="H115" s="135"/>
      <c r="I115" s="135"/>
      <c r="J115" s="135"/>
      <c r="K115" s="135"/>
      <c r="L115" s="135"/>
      <c r="M115" s="135"/>
      <c r="N115" s="135"/>
      <c r="O115" s="716"/>
      <c r="P115" s="716"/>
      <c r="Q115" s="716"/>
      <c r="R115" s="716"/>
      <c r="S115" s="716"/>
      <c r="T115" s="716"/>
      <c r="U115" s="716"/>
      <c r="V115" s="135"/>
      <c r="W115" s="135"/>
      <c r="X115" s="135"/>
      <c r="Y115" s="135"/>
      <c r="Z115" s="135"/>
      <c r="AA115" s="135"/>
      <c r="AB115" s="135"/>
      <c r="AC115" s="135"/>
      <c r="AD115" s="135"/>
      <c r="AE115" s="135"/>
      <c r="AF115" s="135"/>
      <c r="AG115" s="135"/>
      <c r="AH115" s="135"/>
      <c r="AI115" s="135"/>
      <c r="AJ115" s="135"/>
      <c r="AK115" s="135"/>
      <c r="AL115" s="135"/>
      <c r="AM115" s="135"/>
      <c r="AN115" s="135"/>
      <c r="AO115" s="135"/>
      <c r="AP115" s="135"/>
      <c r="AQ115" s="135"/>
      <c r="AR115" s="135"/>
      <c r="AS115" s="135">
        <v>1</v>
      </c>
      <c r="AT115" s="716"/>
      <c r="AU115" s="135"/>
      <c r="AV115" s="135"/>
      <c r="AW115" s="135"/>
      <c r="AX115" s="135"/>
      <c r="AY115" s="135"/>
      <c r="AZ115" s="135"/>
      <c r="BA115" s="135"/>
      <c r="BB115" s="135"/>
      <c r="BC115" s="135"/>
      <c r="BD115" s="135"/>
      <c r="BE115" s="135"/>
      <c r="BF115" s="135"/>
      <c r="BG115" s="135"/>
      <c r="BH115" s="135"/>
      <c r="BI115" s="135"/>
      <c r="BJ115" s="135"/>
      <c r="BK115" s="135"/>
      <c r="BL115" s="135"/>
      <c r="BM115" s="135"/>
      <c r="BN115" s="135"/>
      <c r="BO115" s="135"/>
      <c r="BP115" s="135"/>
      <c r="BQ115" s="135"/>
      <c r="BR115" s="135"/>
      <c r="BS115" s="135"/>
      <c r="BT115" s="135"/>
      <c r="BU115" s="135"/>
      <c r="BV115" s="135"/>
      <c r="BW115" s="135"/>
      <c r="BX115" s="135"/>
      <c r="BY115" s="135"/>
      <c r="BZ115" s="135"/>
      <c r="CA115" s="135"/>
      <c r="CB115" s="700"/>
      <c r="CC115" s="700"/>
      <c r="CD115" s="700"/>
      <c r="CE115" s="700"/>
      <c r="CF115" s="700"/>
      <c r="CG115" s="128"/>
      <c r="CH115" s="128"/>
      <c r="CI115" s="128"/>
      <c r="CJ115" s="128"/>
      <c r="CK115" s="128"/>
      <c r="CL115" s="128"/>
      <c r="CM115" s="128"/>
      <c r="CN115" s="128"/>
      <c r="CO115" s="128"/>
      <c r="CP115" s="128"/>
      <c r="CQ115" s="128"/>
      <c r="CR115" s="128"/>
      <c r="CS115" s="128"/>
      <c r="CT115" s="128"/>
      <c r="CU115" s="128"/>
      <c r="CV115" s="128"/>
      <c r="CW115" s="128"/>
      <c r="CX115" s="128"/>
      <c r="CY115" s="128"/>
      <c r="CZ115" s="128"/>
    </row>
    <row r="116" spans="1:104" s="431" customFormat="1" ht="24.6" customHeight="1">
      <c r="A116" s="432">
        <v>26</v>
      </c>
      <c r="B116" s="454" t="s">
        <v>849</v>
      </c>
      <c r="C116" s="454"/>
      <c r="D116" s="454"/>
      <c r="E116" s="135"/>
      <c r="F116" s="135"/>
      <c r="G116" s="135"/>
      <c r="H116" s="135"/>
      <c r="I116" s="135"/>
      <c r="J116" s="135"/>
      <c r="K116" s="135"/>
      <c r="L116" s="135"/>
      <c r="M116" s="135"/>
      <c r="N116" s="135"/>
      <c r="O116" s="716"/>
      <c r="P116" s="716"/>
      <c r="Q116" s="716"/>
      <c r="R116" s="716"/>
      <c r="S116" s="716"/>
      <c r="T116" s="716"/>
      <c r="U116" s="716"/>
      <c r="V116" s="135"/>
      <c r="W116" s="135"/>
      <c r="X116" s="135"/>
      <c r="Y116" s="135"/>
      <c r="Z116" s="135"/>
      <c r="AA116" s="135"/>
      <c r="AB116" s="135"/>
      <c r="AC116" s="135"/>
      <c r="AD116" s="135"/>
      <c r="AE116" s="135"/>
      <c r="AF116" s="135"/>
      <c r="AG116" s="135"/>
      <c r="AH116" s="135"/>
      <c r="AI116" s="135"/>
      <c r="AJ116" s="135"/>
      <c r="AK116" s="135"/>
      <c r="AL116" s="135"/>
      <c r="AM116" s="135"/>
      <c r="AN116" s="135"/>
      <c r="AO116" s="135"/>
      <c r="AP116" s="135"/>
      <c r="AQ116" s="135"/>
      <c r="AR116" s="135"/>
      <c r="AS116" s="135">
        <v>1</v>
      </c>
      <c r="AT116" s="716"/>
      <c r="AU116" s="135"/>
      <c r="AV116" s="135"/>
      <c r="AW116" s="135"/>
      <c r="AX116" s="135"/>
      <c r="AY116" s="135"/>
      <c r="AZ116" s="135"/>
      <c r="BA116" s="135"/>
      <c r="BB116" s="135"/>
      <c r="BC116" s="135"/>
      <c r="BD116" s="135"/>
      <c r="BE116" s="135"/>
      <c r="BF116" s="135"/>
      <c r="BG116" s="135"/>
      <c r="BH116" s="135"/>
      <c r="BI116" s="135"/>
      <c r="BJ116" s="135"/>
      <c r="BK116" s="135"/>
      <c r="BL116" s="135"/>
      <c r="BM116" s="135"/>
      <c r="BN116" s="135"/>
      <c r="BO116" s="135"/>
      <c r="BP116" s="135"/>
      <c r="BQ116" s="135"/>
      <c r="BR116" s="135"/>
      <c r="BS116" s="135"/>
      <c r="BT116" s="135"/>
      <c r="BU116" s="135"/>
      <c r="BV116" s="135"/>
      <c r="BW116" s="135"/>
      <c r="BX116" s="135"/>
      <c r="BY116" s="135"/>
      <c r="BZ116" s="135"/>
      <c r="CA116" s="135"/>
      <c r="CB116" s="700"/>
      <c r="CC116" s="700"/>
      <c r="CD116" s="700"/>
      <c r="CE116" s="700"/>
      <c r="CF116" s="700"/>
      <c r="CG116" s="128"/>
      <c r="CH116" s="128"/>
      <c r="CI116" s="128"/>
      <c r="CJ116" s="128"/>
      <c r="CK116" s="128"/>
      <c r="CL116" s="128"/>
      <c r="CM116" s="128"/>
      <c r="CN116" s="128"/>
      <c r="CO116" s="128"/>
      <c r="CP116" s="128"/>
      <c r="CQ116" s="128"/>
      <c r="CR116" s="128"/>
      <c r="CS116" s="128"/>
      <c r="CT116" s="128"/>
      <c r="CU116" s="128"/>
      <c r="CV116" s="128"/>
      <c r="CW116" s="128"/>
      <c r="CX116" s="128"/>
      <c r="CY116" s="128"/>
      <c r="CZ116" s="128"/>
    </row>
    <row r="117" spans="1:104" s="431" customFormat="1" ht="24.6" customHeight="1">
      <c r="A117" s="432">
        <v>27</v>
      </c>
      <c r="B117" s="454" t="s">
        <v>850</v>
      </c>
      <c r="C117" s="454"/>
      <c r="D117" s="454"/>
      <c r="E117" s="135"/>
      <c r="F117" s="135"/>
      <c r="G117" s="135"/>
      <c r="H117" s="135"/>
      <c r="I117" s="135"/>
      <c r="J117" s="135"/>
      <c r="K117" s="135"/>
      <c r="L117" s="135"/>
      <c r="M117" s="135"/>
      <c r="N117" s="135"/>
      <c r="O117" s="716"/>
      <c r="P117" s="716"/>
      <c r="Q117" s="716"/>
      <c r="R117" s="716"/>
      <c r="S117" s="716"/>
      <c r="T117" s="716"/>
      <c r="U117" s="716"/>
      <c r="V117" s="135"/>
      <c r="W117" s="135"/>
      <c r="X117" s="135"/>
      <c r="Y117" s="135"/>
      <c r="Z117" s="135"/>
      <c r="AA117" s="135"/>
      <c r="AB117" s="135"/>
      <c r="AC117" s="135"/>
      <c r="AD117" s="135"/>
      <c r="AE117" s="135"/>
      <c r="AF117" s="135"/>
      <c r="AG117" s="135"/>
      <c r="AH117" s="135"/>
      <c r="AI117" s="135"/>
      <c r="AJ117" s="135"/>
      <c r="AK117" s="135"/>
      <c r="AL117" s="135"/>
      <c r="AM117" s="135"/>
      <c r="AN117" s="135"/>
      <c r="AO117" s="135"/>
      <c r="AP117" s="135"/>
      <c r="AQ117" s="135"/>
      <c r="AR117" s="135"/>
      <c r="AS117" s="135">
        <v>1</v>
      </c>
      <c r="AT117" s="716"/>
      <c r="AU117" s="135"/>
      <c r="AV117" s="135"/>
      <c r="AW117" s="135"/>
      <c r="AX117" s="135"/>
      <c r="AY117" s="135"/>
      <c r="AZ117" s="135"/>
      <c r="BA117" s="135"/>
      <c r="BB117" s="135"/>
      <c r="BC117" s="135"/>
      <c r="BD117" s="135"/>
      <c r="BE117" s="135"/>
      <c r="BF117" s="135"/>
      <c r="BG117" s="135"/>
      <c r="BH117" s="135"/>
      <c r="BI117" s="135"/>
      <c r="BJ117" s="135"/>
      <c r="BK117" s="135"/>
      <c r="BL117" s="135"/>
      <c r="BM117" s="135"/>
      <c r="BN117" s="135"/>
      <c r="BO117" s="135"/>
      <c r="BP117" s="135"/>
      <c r="BQ117" s="135"/>
      <c r="BR117" s="135"/>
      <c r="BS117" s="135"/>
      <c r="BT117" s="135"/>
      <c r="BU117" s="135"/>
      <c r="BV117" s="135"/>
      <c r="BW117" s="135"/>
      <c r="BX117" s="135"/>
      <c r="BY117" s="135"/>
      <c r="BZ117" s="135"/>
      <c r="CA117" s="135"/>
      <c r="CB117" s="700"/>
      <c r="CC117" s="700"/>
      <c r="CD117" s="700"/>
      <c r="CE117" s="700"/>
      <c r="CF117" s="700"/>
      <c r="CG117" s="128"/>
      <c r="CH117" s="128"/>
      <c r="CI117" s="128"/>
      <c r="CJ117" s="128"/>
      <c r="CK117" s="128"/>
      <c r="CL117" s="128"/>
      <c r="CM117" s="128"/>
      <c r="CN117" s="128"/>
      <c r="CO117" s="128"/>
      <c r="CP117" s="128"/>
      <c r="CQ117" s="128"/>
      <c r="CR117" s="128"/>
      <c r="CS117" s="128"/>
      <c r="CT117" s="128"/>
      <c r="CU117" s="128"/>
      <c r="CV117" s="128"/>
      <c r="CW117" s="128"/>
      <c r="CX117" s="128"/>
      <c r="CY117" s="128"/>
      <c r="CZ117" s="128"/>
    </row>
    <row r="118" spans="1:104" s="431" customFormat="1" ht="24.6" customHeight="1">
      <c r="A118" s="432">
        <v>28</v>
      </c>
      <c r="B118" s="454" t="s">
        <v>851</v>
      </c>
      <c r="C118" s="454"/>
      <c r="D118" s="454"/>
      <c r="E118" s="135"/>
      <c r="F118" s="135"/>
      <c r="G118" s="135"/>
      <c r="H118" s="135"/>
      <c r="I118" s="135"/>
      <c r="J118" s="135"/>
      <c r="K118" s="135"/>
      <c r="L118" s="135"/>
      <c r="M118" s="135"/>
      <c r="N118" s="135"/>
      <c r="O118" s="716"/>
      <c r="P118" s="716"/>
      <c r="Q118" s="716"/>
      <c r="R118" s="716"/>
      <c r="S118" s="716"/>
      <c r="T118" s="716"/>
      <c r="U118" s="716"/>
      <c r="V118" s="135"/>
      <c r="W118" s="135"/>
      <c r="X118" s="135"/>
      <c r="Y118" s="135"/>
      <c r="Z118" s="135"/>
      <c r="AA118" s="135"/>
      <c r="AB118" s="135"/>
      <c r="AC118" s="135"/>
      <c r="AD118" s="135"/>
      <c r="AE118" s="135"/>
      <c r="AF118" s="135"/>
      <c r="AG118" s="135"/>
      <c r="AH118" s="135"/>
      <c r="AI118" s="135"/>
      <c r="AJ118" s="135"/>
      <c r="AK118" s="135"/>
      <c r="AL118" s="135"/>
      <c r="AM118" s="135"/>
      <c r="AN118" s="135"/>
      <c r="AO118" s="135"/>
      <c r="AP118" s="135"/>
      <c r="AQ118" s="135"/>
      <c r="AR118" s="135"/>
      <c r="AS118" s="135">
        <v>1</v>
      </c>
      <c r="AT118" s="716"/>
      <c r="AU118" s="135"/>
      <c r="AV118" s="135"/>
      <c r="AW118" s="135"/>
      <c r="AX118" s="135"/>
      <c r="AY118" s="135"/>
      <c r="AZ118" s="135"/>
      <c r="BA118" s="135"/>
      <c r="BB118" s="135"/>
      <c r="BC118" s="135"/>
      <c r="BD118" s="135"/>
      <c r="BE118" s="135"/>
      <c r="BF118" s="135"/>
      <c r="BG118" s="135"/>
      <c r="BH118" s="135"/>
      <c r="BI118" s="135"/>
      <c r="BJ118" s="135"/>
      <c r="BK118" s="135"/>
      <c r="BL118" s="135"/>
      <c r="BM118" s="135"/>
      <c r="BN118" s="135"/>
      <c r="BO118" s="135"/>
      <c r="BP118" s="135"/>
      <c r="BQ118" s="135"/>
      <c r="BR118" s="135"/>
      <c r="BS118" s="135"/>
      <c r="BT118" s="135"/>
      <c r="BU118" s="135"/>
      <c r="BV118" s="135"/>
      <c r="BW118" s="135"/>
      <c r="BX118" s="135"/>
      <c r="BY118" s="135"/>
      <c r="BZ118" s="135"/>
      <c r="CA118" s="135"/>
      <c r="CB118" s="700"/>
      <c r="CC118" s="700"/>
      <c r="CD118" s="700"/>
      <c r="CE118" s="700"/>
      <c r="CF118" s="700"/>
      <c r="CG118" s="128"/>
      <c r="CH118" s="128"/>
      <c r="CI118" s="128"/>
      <c r="CJ118" s="128"/>
      <c r="CK118" s="128"/>
      <c r="CL118" s="128"/>
      <c r="CM118" s="128"/>
      <c r="CN118" s="128"/>
      <c r="CO118" s="128"/>
      <c r="CP118" s="128"/>
      <c r="CQ118" s="128"/>
      <c r="CR118" s="128"/>
      <c r="CS118" s="128"/>
      <c r="CT118" s="128"/>
      <c r="CU118" s="128"/>
      <c r="CV118" s="128"/>
      <c r="CW118" s="128"/>
      <c r="CX118" s="128"/>
      <c r="CY118" s="128"/>
      <c r="CZ118" s="128"/>
    </row>
    <row r="119" spans="1:104" s="431" customFormat="1" ht="24.6" customHeight="1">
      <c r="A119" s="432">
        <v>29</v>
      </c>
      <c r="B119" s="454" t="s">
        <v>852</v>
      </c>
      <c r="C119" s="454"/>
      <c r="D119" s="454"/>
      <c r="E119" s="135"/>
      <c r="F119" s="135"/>
      <c r="G119" s="135"/>
      <c r="H119" s="135"/>
      <c r="I119" s="135"/>
      <c r="J119" s="135"/>
      <c r="K119" s="135"/>
      <c r="L119" s="135"/>
      <c r="M119" s="135"/>
      <c r="N119" s="135"/>
      <c r="O119" s="716"/>
      <c r="P119" s="716"/>
      <c r="Q119" s="716"/>
      <c r="R119" s="716"/>
      <c r="S119" s="716"/>
      <c r="T119" s="716"/>
      <c r="U119" s="716"/>
      <c r="V119" s="135"/>
      <c r="W119" s="135"/>
      <c r="X119" s="135"/>
      <c r="Y119" s="135"/>
      <c r="Z119" s="135"/>
      <c r="AA119" s="135"/>
      <c r="AB119" s="135"/>
      <c r="AC119" s="135"/>
      <c r="AD119" s="135"/>
      <c r="AE119" s="135"/>
      <c r="AF119" s="135"/>
      <c r="AG119" s="135"/>
      <c r="AH119" s="135"/>
      <c r="AI119" s="135"/>
      <c r="AJ119" s="135"/>
      <c r="AK119" s="135"/>
      <c r="AL119" s="135"/>
      <c r="AM119" s="135"/>
      <c r="AN119" s="135"/>
      <c r="AO119" s="135"/>
      <c r="AP119" s="135"/>
      <c r="AQ119" s="135"/>
      <c r="AR119" s="135"/>
      <c r="AS119" s="135">
        <v>1</v>
      </c>
      <c r="AT119" s="716"/>
      <c r="AU119" s="135"/>
      <c r="AV119" s="135"/>
      <c r="AW119" s="135"/>
      <c r="AX119" s="135"/>
      <c r="AY119" s="135"/>
      <c r="AZ119" s="135"/>
      <c r="BA119" s="135"/>
      <c r="BB119" s="135"/>
      <c r="BC119" s="135"/>
      <c r="BD119" s="135"/>
      <c r="BE119" s="135"/>
      <c r="BF119" s="135"/>
      <c r="BG119" s="135"/>
      <c r="BH119" s="135"/>
      <c r="BI119" s="135"/>
      <c r="BJ119" s="135"/>
      <c r="BK119" s="135"/>
      <c r="BL119" s="135"/>
      <c r="BM119" s="135"/>
      <c r="BN119" s="135"/>
      <c r="BO119" s="135"/>
      <c r="BP119" s="135"/>
      <c r="BQ119" s="135"/>
      <c r="BR119" s="135"/>
      <c r="BS119" s="135"/>
      <c r="BT119" s="135"/>
      <c r="BU119" s="135"/>
      <c r="BV119" s="135"/>
      <c r="BW119" s="135"/>
      <c r="BX119" s="135"/>
      <c r="BY119" s="135"/>
      <c r="BZ119" s="135"/>
      <c r="CA119" s="135"/>
      <c r="CB119" s="700"/>
      <c r="CC119" s="700"/>
      <c r="CD119" s="700"/>
      <c r="CE119" s="700"/>
      <c r="CF119" s="700"/>
      <c r="CG119" s="128"/>
      <c r="CH119" s="128"/>
      <c r="CI119" s="128"/>
      <c r="CJ119" s="128"/>
      <c r="CK119" s="128"/>
      <c r="CL119" s="128"/>
      <c r="CM119" s="128"/>
      <c r="CN119" s="128"/>
      <c r="CO119" s="128"/>
      <c r="CP119" s="128"/>
      <c r="CQ119" s="128"/>
      <c r="CR119" s="128"/>
      <c r="CS119" s="128"/>
      <c r="CT119" s="128"/>
      <c r="CU119" s="128"/>
      <c r="CV119" s="128"/>
      <c r="CW119" s="128"/>
      <c r="CX119" s="128"/>
      <c r="CY119" s="128"/>
      <c r="CZ119" s="128"/>
    </row>
    <row r="120" spans="1:104" s="431" customFormat="1" ht="24.6" customHeight="1">
      <c r="A120" s="432">
        <v>30</v>
      </c>
      <c r="B120" s="454" t="s">
        <v>853</v>
      </c>
      <c r="C120" s="454"/>
      <c r="D120" s="454"/>
      <c r="E120" s="135"/>
      <c r="F120" s="135"/>
      <c r="G120" s="135"/>
      <c r="H120" s="135"/>
      <c r="I120" s="135"/>
      <c r="J120" s="135"/>
      <c r="K120" s="135"/>
      <c r="L120" s="135"/>
      <c r="M120" s="135"/>
      <c r="N120" s="135"/>
      <c r="O120" s="716"/>
      <c r="P120" s="716"/>
      <c r="Q120" s="716"/>
      <c r="R120" s="716"/>
      <c r="S120" s="716"/>
      <c r="T120" s="716"/>
      <c r="U120" s="716"/>
      <c r="V120" s="135"/>
      <c r="W120" s="135"/>
      <c r="X120" s="135"/>
      <c r="Y120" s="135"/>
      <c r="Z120" s="135"/>
      <c r="AA120" s="135"/>
      <c r="AB120" s="135"/>
      <c r="AC120" s="135"/>
      <c r="AD120" s="135"/>
      <c r="AE120" s="135"/>
      <c r="AF120" s="135"/>
      <c r="AG120" s="135"/>
      <c r="AH120" s="135"/>
      <c r="AI120" s="135"/>
      <c r="AJ120" s="135"/>
      <c r="AK120" s="135"/>
      <c r="AL120" s="135"/>
      <c r="AM120" s="135"/>
      <c r="AN120" s="135"/>
      <c r="AO120" s="135"/>
      <c r="AP120" s="135"/>
      <c r="AQ120" s="135"/>
      <c r="AR120" s="135"/>
      <c r="AS120" s="135">
        <v>1</v>
      </c>
      <c r="AT120" s="716"/>
      <c r="AU120" s="135"/>
      <c r="AV120" s="135"/>
      <c r="AW120" s="135"/>
      <c r="AX120" s="135"/>
      <c r="AY120" s="135"/>
      <c r="AZ120" s="135"/>
      <c r="BA120" s="135"/>
      <c r="BB120" s="135"/>
      <c r="BC120" s="135"/>
      <c r="BD120" s="135"/>
      <c r="BE120" s="135"/>
      <c r="BF120" s="135"/>
      <c r="BG120" s="135"/>
      <c r="BH120" s="135"/>
      <c r="BI120" s="135"/>
      <c r="BJ120" s="135"/>
      <c r="BK120" s="135"/>
      <c r="BL120" s="135"/>
      <c r="BM120" s="135"/>
      <c r="BN120" s="135"/>
      <c r="BO120" s="135"/>
      <c r="BP120" s="135"/>
      <c r="BQ120" s="135"/>
      <c r="BR120" s="135"/>
      <c r="BS120" s="135"/>
      <c r="BT120" s="135"/>
      <c r="BU120" s="135"/>
      <c r="BV120" s="135"/>
      <c r="BW120" s="135"/>
      <c r="BX120" s="135"/>
      <c r="BY120" s="135"/>
      <c r="BZ120" s="135"/>
      <c r="CA120" s="135"/>
      <c r="CB120" s="700"/>
      <c r="CC120" s="700"/>
      <c r="CD120" s="700"/>
      <c r="CE120" s="700"/>
      <c r="CF120" s="700"/>
      <c r="CG120" s="128"/>
      <c r="CH120" s="128"/>
      <c r="CI120" s="128"/>
      <c r="CJ120" s="128"/>
      <c r="CK120" s="128"/>
      <c r="CL120" s="128"/>
      <c r="CM120" s="128"/>
      <c r="CN120" s="128"/>
      <c r="CO120" s="128"/>
      <c r="CP120" s="128"/>
      <c r="CQ120" s="128"/>
      <c r="CR120" s="128"/>
      <c r="CS120" s="128"/>
      <c r="CT120" s="128"/>
      <c r="CU120" s="128"/>
      <c r="CV120" s="128"/>
      <c r="CW120" s="128"/>
      <c r="CX120" s="128"/>
      <c r="CY120" s="128"/>
      <c r="CZ120" s="128"/>
    </row>
    <row r="121" spans="1:104" s="431" customFormat="1" ht="24.6" customHeight="1">
      <c r="A121" s="432">
        <v>31</v>
      </c>
      <c r="B121" s="454" t="s">
        <v>854</v>
      </c>
      <c r="C121" s="454"/>
      <c r="D121" s="454"/>
      <c r="E121" s="135"/>
      <c r="F121" s="135"/>
      <c r="G121" s="135"/>
      <c r="H121" s="135"/>
      <c r="I121" s="135"/>
      <c r="J121" s="135"/>
      <c r="K121" s="135"/>
      <c r="L121" s="135"/>
      <c r="M121" s="135"/>
      <c r="N121" s="135"/>
      <c r="O121" s="716"/>
      <c r="P121" s="716"/>
      <c r="Q121" s="716"/>
      <c r="R121" s="716"/>
      <c r="S121" s="716"/>
      <c r="T121" s="716"/>
      <c r="U121" s="716"/>
      <c r="V121" s="135"/>
      <c r="W121" s="135"/>
      <c r="X121" s="135"/>
      <c r="Y121" s="135"/>
      <c r="Z121" s="135"/>
      <c r="AA121" s="135"/>
      <c r="AB121" s="135"/>
      <c r="AC121" s="135"/>
      <c r="AD121" s="135"/>
      <c r="AE121" s="135"/>
      <c r="AF121" s="135"/>
      <c r="AG121" s="135"/>
      <c r="AH121" s="135"/>
      <c r="AI121" s="135"/>
      <c r="AJ121" s="135"/>
      <c r="AK121" s="135"/>
      <c r="AL121" s="135"/>
      <c r="AM121" s="135"/>
      <c r="AN121" s="135"/>
      <c r="AO121" s="135"/>
      <c r="AP121" s="135"/>
      <c r="AQ121" s="135"/>
      <c r="AR121" s="135"/>
      <c r="AS121" s="135">
        <v>1</v>
      </c>
      <c r="AT121" s="716"/>
      <c r="AU121" s="135"/>
      <c r="AV121" s="135"/>
      <c r="AW121" s="135"/>
      <c r="AX121" s="135"/>
      <c r="AY121" s="135"/>
      <c r="AZ121" s="135"/>
      <c r="BA121" s="135"/>
      <c r="BB121" s="135"/>
      <c r="BC121" s="135"/>
      <c r="BD121" s="135"/>
      <c r="BE121" s="135"/>
      <c r="BF121" s="135"/>
      <c r="BG121" s="135"/>
      <c r="BH121" s="135"/>
      <c r="BI121" s="135"/>
      <c r="BJ121" s="135"/>
      <c r="BK121" s="135"/>
      <c r="BL121" s="135"/>
      <c r="BM121" s="135"/>
      <c r="BN121" s="135"/>
      <c r="BO121" s="135"/>
      <c r="BP121" s="135"/>
      <c r="BQ121" s="135"/>
      <c r="BR121" s="135"/>
      <c r="BS121" s="135"/>
      <c r="BT121" s="135"/>
      <c r="BU121" s="135"/>
      <c r="BV121" s="135"/>
      <c r="BW121" s="135"/>
      <c r="BX121" s="135"/>
      <c r="BY121" s="135"/>
      <c r="BZ121" s="135"/>
      <c r="CA121" s="135"/>
      <c r="CB121" s="700"/>
      <c r="CC121" s="700"/>
      <c r="CD121" s="700"/>
      <c r="CE121" s="700"/>
      <c r="CF121" s="700"/>
      <c r="CG121" s="128"/>
      <c r="CH121" s="128"/>
      <c r="CI121" s="128"/>
      <c r="CJ121" s="128"/>
      <c r="CK121" s="128"/>
      <c r="CL121" s="128"/>
      <c r="CM121" s="128"/>
      <c r="CN121" s="128"/>
      <c r="CO121" s="128"/>
      <c r="CP121" s="128"/>
      <c r="CQ121" s="128"/>
      <c r="CR121" s="128"/>
      <c r="CS121" s="128"/>
      <c r="CT121" s="128"/>
      <c r="CU121" s="128"/>
      <c r="CV121" s="128"/>
      <c r="CW121" s="128"/>
      <c r="CX121" s="128"/>
      <c r="CY121" s="128"/>
      <c r="CZ121" s="128"/>
    </row>
    <row r="122" spans="1:104" s="431" customFormat="1" ht="24.6" customHeight="1">
      <c r="A122" s="432">
        <v>32</v>
      </c>
      <c r="B122" s="454" t="s">
        <v>800</v>
      </c>
      <c r="C122" s="454"/>
      <c r="D122" s="454"/>
      <c r="E122" s="135"/>
      <c r="F122" s="135"/>
      <c r="G122" s="135"/>
      <c r="H122" s="135"/>
      <c r="I122" s="135"/>
      <c r="J122" s="135"/>
      <c r="K122" s="135"/>
      <c r="L122" s="135"/>
      <c r="M122" s="135"/>
      <c r="N122" s="135"/>
      <c r="O122" s="716"/>
      <c r="P122" s="716"/>
      <c r="Q122" s="716"/>
      <c r="R122" s="716"/>
      <c r="S122" s="716"/>
      <c r="T122" s="716"/>
      <c r="U122" s="716"/>
      <c r="V122" s="135"/>
      <c r="W122" s="135"/>
      <c r="X122" s="135"/>
      <c r="Y122" s="135"/>
      <c r="Z122" s="135"/>
      <c r="AA122" s="135"/>
      <c r="AB122" s="135"/>
      <c r="AC122" s="135"/>
      <c r="AD122" s="135"/>
      <c r="AE122" s="135"/>
      <c r="AF122" s="135"/>
      <c r="AG122" s="135"/>
      <c r="AH122" s="135"/>
      <c r="AI122" s="135"/>
      <c r="AJ122" s="135"/>
      <c r="AK122" s="135"/>
      <c r="AL122" s="135"/>
      <c r="AM122" s="135"/>
      <c r="AN122" s="135"/>
      <c r="AO122" s="135"/>
      <c r="AP122" s="135"/>
      <c r="AQ122" s="135"/>
      <c r="AR122" s="135"/>
      <c r="AS122" s="135">
        <v>1</v>
      </c>
      <c r="AT122" s="716"/>
      <c r="AU122" s="135"/>
      <c r="AV122" s="135"/>
      <c r="AW122" s="135"/>
      <c r="AX122" s="135"/>
      <c r="AY122" s="135"/>
      <c r="AZ122" s="135"/>
      <c r="BA122" s="135"/>
      <c r="BB122" s="135"/>
      <c r="BC122" s="135"/>
      <c r="BD122" s="135"/>
      <c r="BE122" s="135"/>
      <c r="BF122" s="135"/>
      <c r="BG122" s="135"/>
      <c r="BH122" s="135"/>
      <c r="BI122" s="135"/>
      <c r="BJ122" s="135"/>
      <c r="BK122" s="135"/>
      <c r="BL122" s="135"/>
      <c r="BM122" s="135"/>
      <c r="BN122" s="135"/>
      <c r="BO122" s="135"/>
      <c r="BP122" s="135"/>
      <c r="BQ122" s="135"/>
      <c r="BR122" s="135"/>
      <c r="BS122" s="135"/>
      <c r="BT122" s="135"/>
      <c r="BU122" s="135"/>
      <c r="BV122" s="135"/>
      <c r="BW122" s="135"/>
      <c r="BX122" s="135"/>
      <c r="BY122" s="135"/>
      <c r="BZ122" s="135"/>
      <c r="CA122" s="135"/>
      <c r="CB122" s="700"/>
      <c r="CC122" s="700"/>
      <c r="CD122" s="700"/>
      <c r="CE122" s="700"/>
      <c r="CF122" s="700"/>
      <c r="CG122" s="128"/>
      <c r="CH122" s="128"/>
      <c r="CI122" s="128"/>
      <c r="CJ122" s="128"/>
      <c r="CK122" s="128"/>
      <c r="CL122" s="128"/>
      <c r="CM122" s="128"/>
      <c r="CN122" s="128"/>
      <c r="CO122" s="128"/>
      <c r="CP122" s="128"/>
      <c r="CQ122" s="128"/>
      <c r="CR122" s="128"/>
      <c r="CS122" s="128"/>
      <c r="CT122" s="128"/>
      <c r="CU122" s="128"/>
      <c r="CV122" s="128"/>
      <c r="CW122" s="128"/>
      <c r="CX122" s="128"/>
      <c r="CY122" s="128"/>
      <c r="CZ122" s="128"/>
    </row>
    <row r="123" spans="1:104" s="431" customFormat="1" ht="24.6" customHeight="1">
      <c r="A123" s="432">
        <v>33</v>
      </c>
      <c r="B123" s="454" t="s">
        <v>804</v>
      </c>
      <c r="C123" s="454"/>
      <c r="D123" s="454"/>
      <c r="E123" s="135"/>
      <c r="F123" s="135"/>
      <c r="G123" s="135"/>
      <c r="H123" s="135"/>
      <c r="I123" s="135"/>
      <c r="J123" s="135"/>
      <c r="K123" s="135"/>
      <c r="L123" s="135"/>
      <c r="M123" s="135"/>
      <c r="N123" s="135"/>
      <c r="O123" s="716"/>
      <c r="P123" s="716"/>
      <c r="Q123" s="716"/>
      <c r="R123" s="716"/>
      <c r="S123" s="716"/>
      <c r="T123" s="716"/>
      <c r="U123" s="716"/>
      <c r="V123" s="135"/>
      <c r="W123" s="135"/>
      <c r="X123" s="135"/>
      <c r="Y123" s="135"/>
      <c r="Z123" s="135"/>
      <c r="AA123" s="135"/>
      <c r="AB123" s="135"/>
      <c r="AC123" s="135"/>
      <c r="AD123" s="135"/>
      <c r="AE123" s="135"/>
      <c r="AF123" s="135"/>
      <c r="AG123" s="135"/>
      <c r="AH123" s="135"/>
      <c r="AI123" s="135"/>
      <c r="AJ123" s="135"/>
      <c r="AK123" s="135"/>
      <c r="AL123" s="135"/>
      <c r="AM123" s="135"/>
      <c r="AN123" s="135"/>
      <c r="AO123" s="135"/>
      <c r="AP123" s="135"/>
      <c r="AQ123" s="135"/>
      <c r="AR123" s="135"/>
      <c r="AS123" s="135">
        <v>1</v>
      </c>
      <c r="AT123" s="716"/>
      <c r="AU123" s="135"/>
      <c r="AV123" s="135"/>
      <c r="AW123" s="135"/>
      <c r="AX123" s="135"/>
      <c r="AY123" s="135"/>
      <c r="AZ123" s="135"/>
      <c r="BA123" s="135"/>
      <c r="BB123" s="135"/>
      <c r="BC123" s="135"/>
      <c r="BD123" s="135"/>
      <c r="BE123" s="135"/>
      <c r="BF123" s="135"/>
      <c r="BG123" s="135"/>
      <c r="BH123" s="135"/>
      <c r="BI123" s="135"/>
      <c r="BJ123" s="135"/>
      <c r="BK123" s="135"/>
      <c r="BL123" s="135"/>
      <c r="BM123" s="135"/>
      <c r="BN123" s="135"/>
      <c r="BO123" s="135"/>
      <c r="BP123" s="135"/>
      <c r="BQ123" s="135"/>
      <c r="BR123" s="135"/>
      <c r="BS123" s="135"/>
      <c r="BT123" s="135"/>
      <c r="BU123" s="135"/>
      <c r="BV123" s="135"/>
      <c r="BW123" s="135"/>
      <c r="BX123" s="135"/>
      <c r="BY123" s="135"/>
      <c r="BZ123" s="135"/>
      <c r="CA123" s="135"/>
      <c r="CB123" s="700"/>
      <c r="CC123" s="700"/>
      <c r="CD123" s="700"/>
      <c r="CE123" s="700"/>
      <c r="CF123" s="700"/>
      <c r="CG123" s="128"/>
      <c r="CH123" s="128"/>
      <c r="CI123" s="128"/>
      <c r="CJ123" s="128"/>
      <c r="CK123" s="128"/>
      <c r="CL123" s="128"/>
      <c r="CM123" s="128"/>
      <c r="CN123" s="128"/>
      <c r="CO123" s="128"/>
      <c r="CP123" s="128"/>
      <c r="CQ123" s="128"/>
      <c r="CR123" s="128"/>
      <c r="CS123" s="128"/>
      <c r="CT123" s="128"/>
      <c r="CU123" s="128"/>
      <c r="CV123" s="128"/>
      <c r="CW123" s="128"/>
      <c r="CX123" s="128"/>
      <c r="CY123" s="128"/>
      <c r="CZ123" s="128"/>
    </row>
    <row r="124" spans="1:104" s="431" customFormat="1" ht="24.6" customHeight="1">
      <c r="A124" s="432">
        <v>34</v>
      </c>
      <c r="B124" s="454" t="s">
        <v>855</v>
      </c>
      <c r="C124" s="454"/>
      <c r="D124" s="454"/>
      <c r="E124" s="135"/>
      <c r="F124" s="135"/>
      <c r="G124" s="135"/>
      <c r="H124" s="135"/>
      <c r="I124" s="135"/>
      <c r="J124" s="135"/>
      <c r="K124" s="135"/>
      <c r="L124" s="135"/>
      <c r="M124" s="135"/>
      <c r="N124" s="135"/>
      <c r="O124" s="716"/>
      <c r="P124" s="716"/>
      <c r="Q124" s="716"/>
      <c r="R124" s="716"/>
      <c r="S124" s="716"/>
      <c r="T124" s="716"/>
      <c r="U124" s="716"/>
      <c r="V124" s="135"/>
      <c r="W124" s="135"/>
      <c r="X124" s="135"/>
      <c r="Y124" s="135"/>
      <c r="Z124" s="135"/>
      <c r="AA124" s="135"/>
      <c r="AB124" s="135"/>
      <c r="AC124" s="135"/>
      <c r="AD124" s="135"/>
      <c r="AE124" s="135"/>
      <c r="AF124" s="135"/>
      <c r="AG124" s="135"/>
      <c r="AH124" s="135"/>
      <c r="AI124" s="135"/>
      <c r="AJ124" s="135"/>
      <c r="AK124" s="135"/>
      <c r="AL124" s="135"/>
      <c r="AM124" s="135"/>
      <c r="AN124" s="135"/>
      <c r="AO124" s="135"/>
      <c r="AP124" s="135"/>
      <c r="AQ124" s="135"/>
      <c r="AR124" s="135"/>
      <c r="AS124" s="135">
        <v>1</v>
      </c>
      <c r="AT124" s="716"/>
      <c r="AU124" s="135"/>
      <c r="AV124" s="135"/>
      <c r="AW124" s="135"/>
      <c r="AX124" s="135"/>
      <c r="AY124" s="135"/>
      <c r="AZ124" s="135"/>
      <c r="BA124" s="135"/>
      <c r="BB124" s="135"/>
      <c r="BC124" s="135"/>
      <c r="BD124" s="135"/>
      <c r="BE124" s="135"/>
      <c r="BF124" s="135"/>
      <c r="BG124" s="135"/>
      <c r="BH124" s="135"/>
      <c r="BI124" s="135"/>
      <c r="BJ124" s="135"/>
      <c r="BK124" s="135"/>
      <c r="BL124" s="135"/>
      <c r="BM124" s="135"/>
      <c r="BN124" s="135"/>
      <c r="BO124" s="135"/>
      <c r="BP124" s="135"/>
      <c r="BQ124" s="135"/>
      <c r="BR124" s="135"/>
      <c r="BS124" s="135"/>
      <c r="BT124" s="135"/>
      <c r="BU124" s="135"/>
      <c r="BV124" s="135"/>
      <c r="BW124" s="135"/>
      <c r="BX124" s="135"/>
      <c r="BY124" s="135"/>
      <c r="BZ124" s="135"/>
      <c r="CA124" s="135"/>
      <c r="CB124" s="700"/>
      <c r="CC124" s="700"/>
      <c r="CD124" s="700"/>
      <c r="CE124" s="700"/>
      <c r="CF124" s="700"/>
      <c r="CG124" s="128"/>
      <c r="CH124" s="128"/>
      <c r="CI124" s="128"/>
      <c r="CJ124" s="128"/>
      <c r="CK124" s="128"/>
      <c r="CL124" s="128"/>
      <c r="CM124" s="128"/>
      <c r="CN124" s="128"/>
      <c r="CO124" s="128"/>
      <c r="CP124" s="128"/>
      <c r="CQ124" s="128"/>
      <c r="CR124" s="128"/>
      <c r="CS124" s="128"/>
      <c r="CT124" s="128"/>
      <c r="CU124" s="128"/>
      <c r="CV124" s="128"/>
      <c r="CW124" s="128"/>
      <c r="CX124" s="128"/>
      <c r="CY124" s="128"/>
      <c r="CZ124" s="128"/>
    </row>
    <row r="125" spans="1:104" s="431" customFormat="1" ht="24.6" customHeight="1">
      <c r="A125" s="432">
        <v>35</v>
      </c>
      <c r="B125" s="454" t="s">
        <v>856</v>
      </c>
      <c r="C125" s="454"/>
      <c r="D125" s="454"/>
      <c r="E125" s="135"/>
      <c r="F125" s="135"/>
      <c r="G125" s="135"/>
      <c r="H125" s="135"/>
      <c r="I125" s="135"/>
      <c r="J125" s="135"/>
      <c r="K125" s="135"/>
      <c r="L125" s="135"/>
      <c r="M125" s="135"/>
      <c r="N125" s="135"/>
      <c r="O125" s="716"/>
      <c r="P125" s="716"/>
      <c r="Q125" s="716"/>
      <c r="R125" s="716"/>
      <c r="S125" s="716"/>
      <c r="T125" s="716"/>
      <c r="U125" s="716"/>
      <c r="V125" s="135"/>
      <c r="W125" s="135"/>
      <c r="X125" s="135"/>
      <c r="Y125" s="135"/>
      <c r="Z125" s="135"/>
      <c r="AA125" s="135"/>
      <c r="AB125" s="135"/>
      <c r="AC125" s="135"/>
      <c r="AD125" s="135"/>
      <c r="AE125" s="135"/>
      <c r="AF125" s="135"/>
      <c r="AG125" s="135"/>
      <c r="AH125" s="135"/>
      <c r="AI125" s="135"/>
      <c r="AJ125" s="135"/>
      <c r="AK125" s="135"/>
      <c r="AL125" s="135"/>
      <c r="AM125" s="135"/>
      <c r="AN125" s="135"/>
      <c r="AO125" s="135"/>
      <c r="AP125" s="135"/>
      <c r="AQ125" s="135"/>
      <c r="AR125" s="135"/>
      <c r="AS125" s="135">
        <v>1</v>
      </c>
      <c r="AT125" s="716"/>
      <c r="AU125" s="135"/>
      <c r="AV125" s="135"/>
      <c r="AW125" s="135"/>
      <c r="AX125" s="135"/>
      <c r="AY125" s="135"/>
      <c r="AZ125" s="135"/>
      <c r="BA125" s="135"/>
      <c r="BB125" s="135"/>
      <c r="BC125" s="135"/>
      <c r="BD125" s="135"/>
      <c r="BE125" s="135"/>
      <c r="BF125" s="135"/>
      <c r="BG125" s="135"/>
      <c r="BH125" s="135"/>
      <c r="BI125" s="135"/>
      <c r="BJ125" s="135"/>
      <c r="BK125" s="135"/>
      <c r="BL125" s="135"/>
      <c r="BM125" s="135"/>
      <c r="BN125" s="135"/>
      <c r="BO125" s="135"/>
      <c r="BP125" s="135"/>
      <c r="BQ125" s="135"/>
      <c r="BR125" s="135"/>
      <c r="BS125" s="135"/>
      <c r="BT125" s="135"/>
      <c r="BU125" s="135"/>
      <c r="BV125" s="135"/>
      <c r="BW125" s="135"/>
      <c r="BX125" s="135"/>
      <c r="BY125" s="135"/>
      <c r="BZ125" s="135"/>
      <c r="CA125" s="135"/>
      <c r="CB125" s="700"/>
      <c r="CC125" s="700"/>
      <c r="CD125" s="700"/>
      <c r="CE125" s="700"/>
      <c r="CF125" s="700"/>
      <c r="CG125" s="128"/>
      <c r="CH125" s="128"/>
      <c r="CI125" s="128"/>
      <c r="CJ125" s="128"/>
      <c r="CK125" s="128"/>
      <c r="CL125" s="128"/>
      <c r="CM125" s="128"/>
      <c r="CN125" s="128"/>
      <c r="CO125" s="128"/>
      <c r="CP125" s="128"/>
      <c r="CQ125" s="128"/>
      <c r="CR125" s="128"/>
      <c r="CS125" s="128"/>
      <c r="CT125" s="128"/>
      <c r="CU125" s="128"/>
      <c r="CV125" s="128"/>
      <c r="CW125" s="128"/>
      <c r="CX125" s="128"/>
      <c r="CY125" s="128"/>
      <c r="CZ125" s="128"/>
    </row>
    <row r="126" spans="1:104" s="431" customFormat="1" ht="24.6" customHeight="1">
      <c r="A126" s="432">
        <v>36</v>
      </c>
      <c r="B126" s="454" t="s">
        <v>857</v>
      </c>
      <c r="C126" s="454"/>
      <c r="D126" s="454"/>
      <c r="E126" s="135"/>
      <c r="F126" s="135"/>
      <c r="G126" s="135"/>
      <c r="H126" s="135"/>
      <c r="I126" s="135"/>
      <c r="J126" s="135"/>
      <c r="K126" s="135"/>
      <c r="L126" s="135"/>
      <c r="M126" s="135"/>
      <c r="N126" s="135"/>
      <c r="O126" s="716"/>
      <c r="P126" s="716"/>
      <c r="Q126" s="716"/>
      <c r="R126" s="716"/>
      <c r="S126" s="716"/>
      <c r="T126" s="716"/>
      <c r="U126" s="716"/>
      <c r="V126" s="135"/>
      <c r="W126" s="135"/>
      <c r="X126" s="135"/>
      <c r="Y126" s="135"/>
      <c r="Z126" s="135"/>
      <c r="AA126" s="135"/>
      <c r="AB126" s="135"/>
      <c r="AC126" s="135"/>
      <c r="AD126" s="135"/>
      <c r="AE126" s="135"/>
      <c r="AF126" s="135"/>
      <c r="AG126" s="135"/>
      <c r="AH126" s="135"/>
      <c r="AI126" s="135"/>
      <c r="AJ126" s="135"/>
      <c r="AK126" s="135"/>
      <c r="AL126" s="135"/>
      <c r="AM126" s="135"/>
      <c r="AN126" s="135"/>
      <c r="AO126" s="135"/>
      <c r="AP126" s="135"/>
      <c r="AQ126" s="135"/>
      <c r="AR126" s="135"/>
      <c r="AS126" s="135">
        <v>1</v>
      </c>
      <c r="AT126" s="716"/>
      <c r="AU126" s="135"/>
      <c r="AV126" s="135"/>
      <c r="AW126" s="135"/>
      <c r="AX126" s="135"/>
      <c r="AY126" s="135"/>
      <c r="AZ126" s="135"/>
      <c r="BA126" s="135"/>
      <c r="BB126" s="135"/>
      <c r="BC126" s="135"/>
      <c r="BD126" s="135"/>
      <c r="BE126" s="135"/>
      <c r="BF126" s="135"/>
      <c r="BG126" s="135"/>
      <c r="BH126" s="135"/>
      <c r="BI126" s="135"/>
      <c r="BJ126" s="135"/>
      <c r="BK126" s="135"/>
      <c r="BL126" s="135"/>
      <c r="BM126" s="135"/>
      <c r="BN126" s="135"/>
      <c r="BO126" s="135"/>
      <c r="BP126" s="135"/>
      <c r="BQ126" s="135"/>
      <c r="BR126" s="135"/>
      <c r="BS126" s="135"/>
      <c r="BT126" s="135"/>
      <c r="BU126" s="135"/>
      <c r="BV126" s="135"/>
      <c r="BW126" s="135"/>
      <c r="BX126" s="135"/>
      <c r="BY126" s="135"/>
      <c r="BZ126" s="135"/>
      <c r="CA126" s="135"/>
      <c r="CB126" s="700"/>
      <c r="CC126" s="700"/>
      <c r="CD126" s="700"/>
      <c r="CE126" s="700"/>
      <c r="CF126" s="700"/>
      <c r="CG126" s="128"/>
      <c r="CH126" s="128"/>
      <c r="CI126" s="128"/>
      <c r="CJ126" s="128"/>
      <c r="CK126" s="128"/>
      <c r="CL126" s="128"/>
      <c r="CM126" s="128"/>
      <c r="CN126" s="128"/>
      <c r="CO126" s="128"/>
      <c r="CP126" s="128"/>
      <c r="CQ126" s="128"/>
      <c r="CR126" s="128"/>
      <c r="CS126" s="128"/>
      <c r="CT126" s="128"/>
      <c r="CU126" s="128"/>
      <c r="CV126" s="128"/>
      <c r="CW126" s="128"/>
      <c r="CX126" s="128"/>
      <c r="CY126" s="128"/>
      <c r="CZ126" s="128"/>
    </row>
    <row r="127" spans="1:104" s="431" customFormat="1" ht="24.6" customHeight="1">
      <c r="A127" s="432">
        <v>37</v>
      </c>
      <c r="B127" s="454" t="s">
        <v>858</v>
      </c>
      <c r="C127" s="454"/>
      <c r="D127" s="454"/>
      <c r="E127" s="135"/>
      <c r="F127" s="135"/>
      <c r="G127" s="135"/>
      <c r="H127" s="135"/>
      <c r="I127" s="135"/>
      <c r="J127" s="135"/>
      <c r="K127" s="135"/>
      <c r="L127" s="135"/>
      <c r="M127" s="135"/>
      <c r="N127" s="135"/>
      <c r="O127" s="716"/>
      <c r="P127" s="716"/>
      <c r="Q127" s="716"/>
      <c r="R127" s="716"/>
      <c r="S127" s="716"/>
      <c r="T127" s="716"/>
      <c r="U127" s="716"/>
      <c r="V127" s="135"/>
      <c r="W127" s="135"/>
      <c r="X127" s="135"/>
      <c r="Y127" s="135"/>
      <c r="Z127" s="135"/>
      <c r="AA127" s="135"/>
      <c r="AB127" s="135"/>
      <c r="AC127" s="135"/>
      <c r="AD127" s="135"/>
      <c r="AE127" s="135"/>
      <c r="AF127" s="135"/>
      <c r="AG127" s="135"/>
      <c r="AH127" s="135"/>
      <c r="AI127" s="135"/>
      <c r="AJ127" s="135"/>
      <c r="AK127" s="135"/>
      <c r="AL127" s="135"/>
      <c r="AM127" s="135"/>
      <c r="AN127" s="135"/>
      <c r="AO127" s="135"/>
      <c r="AP127" s="135"/>
      <c r="AQ127" s="135"/>
      <c r="AR127" s="135"/>
      <c r="AS127" s="135">
        <v>1</v>
      </c>
      <c r="AT127" s="716"/>
      <c r="AU127" s="135"/>
      <c r="AV127" s="135"/>
      <c r="AW127" s="135"/>
      <c r="AX127" s="135"/>
      <c r="AY127" s="135"/>
      <c r="AZ127" s="135"/>
      <c r="BA127" s="135"/>
      <c r="BB127" s="135"/>
      <c r="BC127" s="135"/>
      <c r="BD127" s="135"/>
      <c r="BE127" s="135"/>
      <c r="BF127" s="135"/>
      <c r="BG127" s="135"/>
      <c r="BH127" s="135"/>
      <c r="BI127" s="135"/>
      <c r="BJ127" s="135"/>
      <c r="BK127" s="135"/>
      <c r="BL127" s="135"/>
      <c r="BM127" s="135"/>
      <c r="BN127" s="135"/>
      <c r="BO127" s="135"/>
      <c r="BP127" s="135"/>
      <c r="BQ127" s="135"/>
      <c r="BR127" s="135"/>
      <c r="BS127" s="135"/>
      <c r="BT127" s="135"/>
      <c r="BU127" s="135"/>
      <c r="BV127" s="135"/>
      <c r="BW127" s="135"/>
      <c r="BX127" s="135"/>
      <c r="BY127" s="135"/>
      <c r="BZ127" s="135"/>
      <c r="CA127" s="135"/>
      <c r="CB127" s="700"/>
      <c r="CC127" s="700"/>
      <c r="CD127" s="700"/>
      <c r="CE127" s="700"/>
      <c r="CF127" s="700"/>
      <c r="CG127" s="128"/>
      <c r="CH127" s="128"/>
      <c r="CI127" s="128"/>
      <c r="CJ127" s="128"/>
      <c r="CK127" s="128"/>
      <c r="CL127" s="128"/>
      <c r="CM127" s="128"/>
      <c r="CN127" s="128"/>
      <c r="CO127" s="128"/>
      <c r="CP127" s="128"/>
      <c r="CQ127" s="128"/>
      <c r="CR127" s="128"/>
      <c r="CS127" s="128"/>
      <c r="CT127" s="128"/>
      <c r="CU127" s="128"/>
      <c r="CV127" s="128"/>
      <c r="CW127" s="128"/>
      <c r="CX127" s="128"/>
      <c r="CY127" s="128"/>
      <c r="CZ127" s="128"/>
    </row>
    <row r="128" spans="1:104" s="431" customFormat="1" ht="24.6" customHeight="1">
      <c r="A128" s="432">
        <v>38</v>
      </c>
      <c r="B128" s="454" t="s">
        <v>859</v>
      </c>
      <c r="C128" s="454"/>
      <c r="D128" s="454"/>
      <c r="E128" s="135"/>
      <c r="F128" s="135"/>
      <c r="G128" s="135"/>
      <c r="H128" s="135"/>
      <c r="I128" s="135"/>
      <c r="J128" s="135"/>
      <c r="K128" s="135"/>
      <c r="L128" s="135"/>
      <c r="M128" s="135"/>
      <c r="N128" s="135"/>
      <c r="O128" s="716"/>
      <c r="P128" s="716"/>
      <c r="Q128" s="716"/>
      <c r="R128" s="716"/>
      <c r="S128" s="716"/>
      <c r="T128" s="716"/>
      <c r="U128" s="716"/>
      <c r="V128" s="135"/>
      <c r="W128" s="135"/>
      <c r="X128" s="135"/>
      <c r="Y128" s="135"/>
      <c r="Z128" s="135"/>
      <c r="AA128" s="135"/>
      <c r="AB128" s="135"/>
      <c r="AC128" s="135"/>
      <c r="AD128" s="135"/>
      <c r="AE128" s="135"/>
      <c r="AF128" s="135"/>
      <c r="AG128" s="135"/>
      <c r="AH128" s="135"/>
      <c r="AI128" s="135"/>
      <c r="AJ128" s="135"/>
      <c r="AK128" s="135"/>
      <c r="AL128" s="135"/>
      <c r="AM128" s="135"/>
      <c r="AN128" s="135"/>
      <c r="AO128" s="135"/>
      <c r="AP128" s="135"/>
      <c r="AQ128" s="135"/>
      <c r="AR128" s="135"/>
      <c r="AS128" s="135">
        <v>1</v>
      </c>
      <c r="AT128" s="716"/>
      <c r="AU128" s="135"/>
      <c r="AV128" s="135"/>
      <c r="AW128" s="135"/>
      <c r="AX128" s="135"/>
      <c r="AY128" s="135"/>
      <c r="AZ128" s="135"/>
      <c r="BA128" s="135"/>
      <c r="BB128" s="135"/>
      <c r="BC128" s="135"/>
      <c r="BD128" s="135"/>
      <c r="BE128" s="135"/>
      <c r="BF128" s="135"/>
      <c r="BG128" s="135"/>
      <c r="BH128" s="135"/>
      <c r="BI128" s="135"/>
      <c r="BJ128" s="135"/>
      <c r="BK128" s="135"/>
      <c r="BL128" s="135"/>
      <c r="BM128" s="135"/>
      <c r="BN128" s="135"/>
      <c r="BO128" s="135"/>
      <c r="BP128" s="135"/>
      <c r="BQ128" s="135"/>
      <c r="BR128" s="135"/>
      <c r="BS128" s="135"/>
      <c r="BT128" s="135"/>
      <c r="BU128" s="135"/>
      <c r="BV128" s="135"/>
      <c r="BW128" s="135"/>
      <c r="BX128" s="135"/>
      <c r="BY128" s="135"/>
      <c r="BZ128" s="135"/>
      <c r="CA128" s="135"/>
      <c r="CB128" s="700"/>
      <c r="CC128" s="700"/>
      <c r="CD128" s="700"/>
      <c r="CE128" s="700"/>
      <c r="CF128" s="700"/>
      <c r="CG128" s="128"/>
      <c r="CH128" s="128"/>
      <c r="CI128" s="128"/>
      <c r="CJ128" s="128"/>
      <c r="CK128" s="128"/>
      <c r="CL128" s="128"/>
      <c r="CM128" s="128"/>
      <c r="CN128" s="128"/>
      <c r="CO128" s="128"/>
      <c r="CP128" s="128"/>
      <c r="CQ128" s="128"/>
      <c r="CR128" s="128"/>
      <c r="CS128" s="128"/>
      <c r="CT128" s="128"/>
      <c r="CU128" s="128"/>
      <c r="CV128" s="128"/>
      <c r="CW128" s="128"/>
      <c r="CX128" s="128"/>
      <c r="CY128" s="128"/>
      <c r="CZ128" s="128"/>
    </row>
    <row r="129" spans="1:104" s="431" customFormat="1" ht="24.6" customHeight="1">
      <c r="A129" s="432">
        <v>39</v>
      </c>
      <c r="B129" s="454" t="s">
        <v>860</v>
      </c>
      <c r="C129" s="454"/>
      <c r="D129" s="454"/>
      <c r="E129" s="135"/>
      <c r="F129" s="135"/>
      <c r="G129" s="135"/>
      <c r="H129" s="135"/>
      <c r="I129" s="135"/>
      <c r="J129" s="135"/>
      <c r="K129" s="135"/>
      <c r="L129" s="135"/>
      <c r="M129" s="135"/>
      <c r="N129" s="135"/>
      <c r="O129" s="716"/>
      <c r="P129" s="716"/>
      <c r="Q129" s="716"/>
      <c r="R129" s="716"/>
      <c r="S129" s="716"/>
      <c r="T129" s="716"/>
      <c r="U129" s="716"/>
      <c r="V129" s="135"/>
      <c r="W129" s="135"/>
      <c r="X129" s="135"/>
      <c r="Y129" s="135"/>
      <c r="Z129" s="135"/>
      <c r="AA129" s="135"/>
      <c r="AB129" s="135"/>
      <c r="AC129" s="135"/>
      <c r="AD129" s="135"/>
      <c r="AE129" s="135"/>
      <c r="AF129" s="135"/>
      <c r="AG129" s="135"/>
      <c r="AH129" s="135"/>
      <c r="AI129" s="135"/>
      <c r="AJ129" s="135"/>
      <c r="AK129" s="135"/>
      <c r="AL129" s="135"/>
      <c r="AM129" s="135"/>
      <c r="AN129" s="135"/>
      <c r="AO129" s="135"/>
      <c r="AP129" s="135"/>
      <c r="AQ129" s="135"/>
      <c r="AR129" s="135"/>
      <c r="AS129" s="135">
        <v>1</v>
      </c>
      <c r="AT129" s="716"/>
      <c r="AU129" s="135"/>
      <c r="AV129" s="135"/>
      <c r="AW129" s="135"/>
      <c r="AX129" s="135"/>
      <c r="AY129" s="135"/>
      <c r="AZ129" s="135"/>
      <c r="BA129" s="135"/>
      <c r="BB129" s="135"/>
      <c r="BC129" s="135"/>
      <c r="BD129" s="135"/>
      <c r="BE129" s="135"/>
      <c r="BF129" s="135"/>
      <c r="BG129" s="135"/>
      <c r="BH129" s="135"/>
      <c r="BI129" s="135"/>
      <c r="BJ129" s="135"/>
      <c r="BK129" s="135"/>
      <c r="BL129" s="135"/>
      <c r="BM129" s="135"/>
      <c r="BN129" s="135"/>
      <c r="BO129" s="135"/>
      <c r="BP129" s="135"/>
      <c r="BQ129" s="135"/>
      <c r="BR129" s="135"/>
      <c r="BS129" s="135"/>
      <c r="BT129" s="135"/>
      <c r="BU129" s="135"/>
      <c r="BV129" s="135"/>
      <c r="BW129" s="135"/>
      <c r="BX129" s="135"/>
      <c r="BY129" s="135"/>
      <c r="BZ129" s="135"/>
      <c r="CA129" s="135"/>
      <c r="CB129" s="700"/>
      <c r="CC129" s="700"/>
      <c r="CD129" s="700"/>
      <c r="CE129" s="700"/>
      <c r="CF129" s="700"/>
      <c r="CG129" s="128"/>
      <c r="CH129" s="128"/>
      <c r="CI129" s="128"/>
      <c r="CJ129" s="128"/>
      <c r="CK129" s="128"/>
      <c r="CL129" s="128"/>
      <c r="CM129" s="128"/>
      <c r="CN129" s="128"/>
      <c r="CO129" s="128"/>
      <c r="CP129" s="128"/>
      <c r="CQ129" s="128"/>
      <c r="CR129" s="128"/>
      <c r="CS129" s="128"/>
      <c r="CT129" s="128"/>
      <c r="CU129" s="128"/>
      <c r="CV129" s="128"/>
      <c r="CW129" s="128"/>
      <c r="CX129" s="128"/>
      <c r="CY129" s="128"/>
      <c r="CZ129" s="128"/>
    </row>
    <row r="130" spans="1:104" s="431" customFormat="1" ht="24.6" customHeight="1">
      <c r="A130" s="432">
        <v>40</v>
      </c>
      <c r="B130" s="454" t="s">
        <v>861</v>
      </c>
      <c r="C130" s="454"/>
      <c r="D130" s="454"/>
      <c r="E130" s="135"/>
      <c r="F130" s="135"/>
      <c r="G130" s="135"/>
      <c r="H130" s="135"/>
      <c r="I130" s="135"/>
      <c r="J130" s="135"/>
      <c r="K130" s="135"/>
      <c r="L130" s="135"/>
      <c r="M130" s="135"/>
      <c r="N130" s="135"/>
      <c r="O130" s="716"/>
      <c r="P130" s="716"/>
      <c r="Q130" s="716"/>
      <c r="R130" s="716"/>
      <c r="S130" s="716"/>
      <c r="T130" s="716"/>
      <c r="U130" s="716"/>
      <c r="V130" s="135"/>
      <c r="W130" s="135"/>
      <c r="X130" s="135"/>
      <c r="Y130" s="135"/>
      <c r="Z130" s="135"/>
      <c r="AA130" s="135"/>
      <c r="AB130" s="135"/>
      <c r="AC130" s="135"/>
      <c r="AD130" s="135"/>
      <c r="AE130" s="135"/>
      <c r="AF130" s="135"/>
      <c r="AG130" s="135"/>
      <c r="AH130" s="135"/>
      <c r="AI130" s="135"/>
      <c r="AJ130" s="135"/>
      <c r="AK130" s="135"/>
      <c r="AL130" s="135"/>
      <c r="AM130" s="135"/>
      <c r="AN130" s="135"/>
      <c r="AO130" s="135"/>
      <c r="AP130" s="135"/>
      <c r="AQ130" s="135"/>
      <c r="AR130" s="135"/>
      <c r="AS130" s="135">
        <v>1</v>
      </c>
      <c r="AT130" s="716"/>
      <c r="AU130" s="135"/>
      <c r="AV130" s="135"/>
      <c r="AW130" s="135"/>
      <c r="AX130" s="135"/>
      <c r="AY130" s="135"/>
      <c r="AZ130" s="135"/>
      <c r="BA130" s="135"/>
      <c r="BB130" s="135"/>
      <c r="BC130" s="135"/>
      <c r="BD130" s="135"/>
      <c r="BE130" s="135"/>
      <c r="BF130" s="135"/>
      <c r="BG130" s="135"/>
      <c r="BH130" s="135"/>
      <c r="BI130" s="135"/>
      <c r="BJ130" s="135"/>
      <c r="BK130" s="135"/>
      <c r="BL130" s="135"/>
      <c r="BM130" s="135"/>
      <c r="BN130" s="135"/>
      <c r="BO130" s="135"/>
      <c r="BP130" s="135"/>
      <c r="BQ130" s="135"/>
      <c r="BR130" s="135"/>
      <c r="BS130" s="135"/>
      <c r="BT130" s="135"/>
      <c r="BU130" s="135"/>
      <c r="BV130" s="135"/>
      <c r="BW130" s="135"/>
      <c r="BX130" s="135"/>
      <c r="BY130" s="135"/>
      <c r="BZ130" s="135"/>
      <c r="CA130" s="135"/>
      <c r="CB130" s="700"/>
      <c r="CC130" s="700"/>
      <c r="CD130" s="700"/>
      <c r="CE130" s="700"/>
      <c r="CF130" s="700"/>
      <c r="CG130" s="128"/>
      <c r="CH130" s="128"/>
      <c r="CI130" s="128"/>
      <c r="CJ130" s="128"/>
      <c r="CK130" s="128"/>
      <c r="CL130" s="128"/>
      <c r="CM130" s="128"/>
      <c r="CN130" s="128"/>
      <c r="CO130" s="128"/>
      <c r="CP130" s="128"/>
      <c r="CQ130" s="128"/>
      <c r="CR130" s="128"/>
      <c r="CS130" s="128"/>
      <c r="CT130" s="128"/>
      <c r="CU130" s="128"/>
      <c r="CV130" s="128"/>
      <c r="CW130" s="128"/>
      <c r="CX130" s="128"/>
      <c r="CY130" s="128"/>
      <c r="CZ130" s="128"/>
    </row>
    <row r="131" spans="1:104" s="431" customFormat="1" ht="24.6" customHeight="1">
      <c r="A131" s="432">
        <v>41</v>
      </c>
      <c r="B131" s="454" t="s">
        <v>862</v>
      </c>
      <c r="C131" s="454"/>
      <c r="D131" s="454"/>
      <c r="E131" s="135"/>
      <c r="F131" s="135"/>
      <c r="G131" s="135"/>
      <c r="H131" s="135"/>
      <c r="I131" s="135"/>
      <c r="J131" s="135"/>
      <c r="K131" s="135"/>
      <c r="L131" s="135"/>
      <c r="M131" s="135"/>
      <c r="N131" s="135"/>
      <c r="O131" s="716"/>
      <c r="P131" s="716"/>
      <c r="Q131" s="716"/>
      <c r="R131" s="716"/>
      <c r="S131" s="716"/>
      <c r="T131" s="716"/>
      <c r="U131" s="716"/>
      <c r="V131" s="135"/>
      <c r="W131" s="135"/>
      <c r="X131" s="135"/>
      <c r="Y131" s="135"/>
      <c r="Z131" s="135"/>
      <c r="AA131" s="135"/>
      <c r="AB131" s="135"/>
      <c r="AC131" s="135"/>
      <c r="AD131" s="135"/>
      <c r="AE131" s="135"/>
      <c r="AF131" s="135"/>
      <c r="AG131" s="135"/>
      <c r="AH131" s="135"/>
      <c r="AI131" s="135"/>
      <c r="AJ131" s="135"/>
      <c r="AK131" s="135"/>
      <c r="AL131" s="135"/>
      <c r="AM131" s="135"/>
      <c r="AN131" s="135"/>
      <c r="AO131" s="135"/>
      <c r="AP131" s="135"/>
      <c r="AQ131" s="135"/>
      <c r="AR131" s="135"/>
      <c r="AS131" s="135">
        <v>1</v>
      </c>
      <c r="AT131" s="716"/>
      <c r="AU131" s="135"/>
      <c r="AV131" s="135"/>
      <c r="AW131" s="135"/>
      <c r="AX131" s="135"/>
      <c r="AY131" s="135"/>
      <c r="AZ131" s="135"/>
      <c r="BA131" s="135"/>
      <c r="BB131" s="135"/>
      <c r="BC131" s="135"/>
      <c r="BD131" s="135"/>
      <c r="BE131" s="135"/>
      <c r="BF131" s="135"/>
      <c r="BG131" s="135"/>
      <c r="BH131" s="135"/>
      <c r="BI131" s="135"/>
      <c r="BJ131" s="135"/>
      <c r="BK131" s="135"/>
      <c r="BL131" s="135"/>
      <c r="BM131" s="135"/>
      <c r="BN131" s="135"/>
      <c r="BO131" s="135"/>
      <c r="BP131" s="135"/>
      <c r="BQ131" s="135"/>
      <c r="BR131" s="135"/>
      <c r="BS131" s="135"/>
      <c r="BT131" s="135"/>
      <c r="BU131" s="135"/>
      <c r="BV131" s="135"/>
      <c r="BW131" s="135"/>
      <c r="BX131" s="135"/>
      <c r="BY131" s="135"/>
      <c r="BZ131" s="135"/>
      <c r="CA131" s="135"/>
      <c r="CB131" s="700"/>
      <c r="CC131" s="700"/>
      <c r="CD131" s="700"/>
      <c r="CE131" s="700"/>
      <c r="CF131" s="700"/>
      <c r="CG131" s="128"/>
      <c r="CH131" s="128"/>
      <c r="CI131" s="128"/>
      <c r="CJ131" s="128"/>
      <c r="CK131" s="128"/>
      <c r="CL131" s="128"/>
      <c r="CM131" s="128"/>
      <c r="CN131" s="128"/>
      <c r="CO131" s="128"/>
      <c r="CP131" s="128"/>
      <c r="CQ131" s="128"/>
      <c r="CR131" s="128"/>
      <c r="CS131" s="128"/>
      <c r="CT131" s="128"/>
      <c r="CU131" s="128"/>
      <c r="CV131" s="128"/>
      <c r="CW131" s="128"/>
      <c r="CX131" s="128"/>
      <c r="CY131" s="128"/>
      <c r="CZ131" s="128"/>
    </row>
    <row r="132" spans="1:104" s="431" customFormat="1" ht="24.6" customHeight="1">
      <c r="A132" s="432">
        <v>42</v>
      </c>
      <c r="B132" s="454" t="s">
        <v>863</v>
      </c>
      <c r="C132" s="454"/>
      <c r="D132" s="454"/>
      <c r="E132" s="135"/>
      <c r="F132" s="135"/>
      <c r="G132" s="135"/>
      <c r="H132" s="135"/>
      <c r="I132" s="135"/>
      <c r="J132" s="135"/>
      <c r="K132" s="135"/>
      <c r="L132" s="135"/>
      <c r="M132" s="135"/>
      <c r="N132" s="135"/>
      <c r="O132" s="716"/>
      <c r="P132" s="716"/>
      <c r="Q132" s="716"/>
      <c r="R132" s="716"/>
      <c r="S132" s="716"/>
      <c r="T132" s="716"/>
      <c r="U132" s="716"/>
      <c r="V132" s="135"/>
      <c r="W132" s="135"/>
      <c r="X132" s="135"/>
      <c r="Y132" s="135"/>
      <c r="Z132" s="135"/>
      <c r="AA132" s="135"/>
      <c r="AB132" s="135"/>
      <c r="AC132" s="135"/>
      <c r="AD132" s="135"/>
      <c r="AE132" s="135"/>
      <c r="AF132" s="135"/>
      <c r="AG132" s="135"/>
      <c r="AH132" s="135"/>
      <c r="AI132" s="135"/>
      <c r="AJ132" s="135"/>
      <c r="AK132" s="135"/>
      <c r="AL132" s="135"/>
      <c r="AM132" s="135"/>
      <c r="AN132" s="135"/>
      <c r="AO132" s="135"/>
      <c r="AP132" s="135"/>
      <c r="AQ132" s="135"/>
      <c r="AR132" s="135"/>
      <c r="AS132" s="135">
        <v>1</v>
      </c>
      <c r="AT132" s="716"/>
      <c r="AU132" s="135"/>
      <c r="AV132" s="135"/>
      <c r="AW132" s="135"/>
      <c r="AX132" s="135"/>
      <c r="AY132" s="135"/>
      <c r="AZ132" s="135"/>
      <c r="BA132" s="135"/>
      <c r="BB132" s="135"/>
      <c r="BC132" s="135"/>
      <c r="BD132" s="135"/>
      <c r="BE132" s="135"/>
      <c r="BF132" s="135"/>
      <c r="BG132" s="135"/>
      <c r="BH132" s="135"/>
      <c r="BI132" s="135"/>
      <c r="BJ132" s="135"/>
      <c r="BK132" s="135"/>
      <c r="BL132" s="135"/>
      <c r="BM132" s="135"/>
      <c r="BN132" s="135"/>
      <c r="BO132" s="135"/>
      <c r="BP132" s="135"/>
      <c r="BQ132" s="135"/>
      <c r="BR132" s="135"/>
      <c r="BS132" s="135"/>
      <c r="BT132" s="135"/>
      <c r="BU132" s="135"/>
      <c r="BV132" s="135"/>
      <c r="BW132" s="135"/>
      <c r="BX132" s="135"/>
      <c r="BY132" s="135"/>
      <c r="BZ132" s="135"/>
      <c r="CA132" s="135"/>
      <c r="CB132" s="700"/>
      <c r="CC132" s="700"/>
      <c r="CD132" s="700"/>
      <c r="CE132" s="700"/>
      <c r="CF132" s="700"/>
      <c r="CG132" s="128"/>
      <c r="CH132" s="128"/>
      <c r="CI132" s="128"/>
      <c r="CJ132" s="128"/>
      <c r="CK132" s="128"/>
      <c r="CL132" s="128"/>
      <c r="CM132" s="128"/>
      <c r="CN132" s="128"/>
      <c r="CO132" s="128"/>
      <c r="CP132" s="128"/>
      <c r="CQ132" s="128"/>
      <c r="CR132" s="128"/>
      <c r="CS132" s="128"/>
      <c r="CT132" s="128"/>
      <c r="CU132" s="128"/>
      <c r="CV132" s="128"/>
      <c r="CW132" s="128"/>
      <c r="CX132" s="128"/>
      <c r="CY132" s="128"/>
      <c r="CZ132" s="128"/>
    </row>
    <row r="133" spans="1:104" s="431" customFormat="1" ht="24.6" customHeight="1">
      <c r="A133" s="432">
        <v>43</v>
      </c>
      <c r="B133" s="454" t="s">
        <v>864</v>
      </c>
      <c r="C133" s="454"/>
      <c r="D133" s="454"/>
      <c r="E133" s="135"/>
      <c r="F133" s="135"/>
      <c r="G133" s="135"/>
      <c r="H133" s="135"/>
      <c r="I133" s="135"/>
      <c r="J133" s="135"/>
      <c r="K133" s="135"/>
      <c r="L133" s="135"/>
      <c r="M133" s="135"/>
      <c r="N133" s="135"/>
      <c r="O133" s="716"/>
      <c r="P133" s="716"/>
      <c r="Q133" s="716"/>
      <c r="R133" s="716"/>
      <c r="S133" s="716"/>
      <c r="T133" s="716"/>
      <c r="U133" s="716"/>
      <c r="V133" s="135"/>
      <c r="W133" s="135"/>
      <c r="X133" s="135"/>
      <c r="Y133" s="135"/>
      <c r="Z133" s="135"/>
      <c r="AA133" s="135"/>
      <c r="AB133" s="135"/>
      <c r="AC133" s="135"/>
      <c r="AD133" s="135"/>
      <c r="AE133" s="135"/>
      <c r="AF133" s="135"/>
      <c r="AG133" s="135"/>
      <c r="AH133" s="135"/>
      <c r="AI133" s="135"/>
      <c r="AJ133" s="135"/>
      <c r="AK133" s="135"/>
      <c r="AL133" s="135"/>
      <c r="AM133" s="135"/>
      <c r="AN133" s="135"/>
      <c r="AO133" s="135"/>
      <c r="AP133" s="135"/>
      <c r="AQ133" s="135"/>
      <c r="AR133" s="135"/>
      <c r="AS133" s="135">
        <v>1</v>
      </c>
      <c r="AT133" s="716"/>
      <c r="AU133" s="135"/>
      <c r="AV133" s="135"/>
      <c r="AW133" s="135"/>
      <c r="AX133" s="135"/>
      <c r="AY133" s="135"/>
      <c r="AZ133" s="135"/>
      <c r="BA133" s="135"/>
      <c r="BB133" s="135"/>
      <c r="BC133" s="135"/>
      <c r="BD133" s="135"/>
      <c r="BE133" s="135"/>
      <c r="BF133" s="135"/>
      <c r="BG133" s="135"/>
      <c r="BH133" s="135"/>
      <c r="BI133" s="135"/>
      <c r="BJ133" s="135"/>
      <c r="BK133" s="135"/>
      <c r="BL133" s="135"/>
      <c r="BM133" s="135"/>
      <c r="BN133" s="135"/>
      <c r="BO133" s="135"/>
      <c r="BP133" s="135"/>
      <c r="BQ133" s="135"/>
      <c r="BR133" s="135"/>
      <c r="BS133" s="135"/>
      <c r="BT133" s="135"/>
      <c r="BU133" s="135"/>
      <c r="BV133" s="135"/>
      <c r="BW133" s="135"/>
      <c r="BX133" s="135"/>
      <c r="BY133" s="135"/>
      <c r="BZ133" s="135"/>
      <c r="CA133" s="135"/>
      <c r="CB133" s="700"/>
      <c r="CC133" s="700"/>
      <c r="CD133" s="700"/>
      <c r="CE133" s="700"/>
      <c r="CF133" s="700"/>
      <c r="CG133" s="128"/>
      <c r="CH133" s="128"/>
      <c r="CI133" s="128"/>
      <c r="CJ133" s="128"/>
      <c r="CK133" s="128"/>
      <c r="CL133" s="128"/>
      <c r="CM133" s="128"/>
      <c r="CN133" s="128"/>
      <c r="CO133" s="128"/>
      <c r="CP133" s="128"/>
      <c r="CQ133" s="128"/>
      <c r="CR133" s="128"/>
      <c r="CS133" s="128"/>
      <c r="CT133" s="128"/>
      <c r="CU133" s="128"/>
      <c r="CV133" s="128"/>
      <c r="CW133" s="128"/>
      <c r="CX133" s="128"/>
      <c r="CY133" s="128"/>
      <c r="CZ133" s="128"/>
    </row>
    <row r="134" spans="1:104" s="431" customFormat="1" ht="24.6" customHeight="1">
      <c r="A134" s="432">
        <v>44</v>
      </c>
      <c r="B134" s="454" t="s">
        <v>865</v>
      </c>
      <c r="C134" s="454"/>
      <c r="D134" s="454"/>
      <c r="E134" s="135"/>
      <c r="F134" s="135"/>
      <c r="G134" s="135"/>
      <c r="H134" s="135"/>
      <c r="I134" s="135"/>
      <c r="J134" s="135"/>
      <c r="K134" s="135"/>
      <c r="L134" s="135"/>
      <c r="M134" s="135"/>
      <c r="N134" s="135"/>
      <c r="O134" s="716"/>
      <c r="P134" s="716"/>
      <c r="Q134" s="716"/>
      <c r="R134" s="716"/>
      <c r="S134" s="716"/>
      <c r="T134" s="716"/>
      <c r="U134" s="716"/>
      <c r="V134" s="135"/>
      <c r="W134" s="135"/>
      <c r="X134" s="135"/>
      <c r="Y134" s="135"/>
      <c r="Z134" s="135"/>
      <c r="AA134" s="135"/>
      <c r="AB134" s="135"/>
      <c r="AC134" s="135"/>
      <c r="AD134" s="135"/>
      <c r="AE134" s="135"/>
      <c r="AF134" s="135"/>
      <c r="AG134" s="135"/>
      <c r="AH134" s="135"/>
      <c r="AI134" s="135"/>
      <c r="AJ134" s="135"/>
      <c r="AK134" s="135"/>
      <c r="AL134" s="135"/>
      <c r="AM134" s="135"/>
      <c r="AN134" s="135"/>
      <c r="AO134" s="135"/>
      <c r="AP134" s="135"/>
      <c r="AQ134" s="135"/>
      <c r="AR134" s="135"/>
      <c r="AS134" s="135">
        <v>1</v>
      </c>
      <c r="AT134" s="716"/>
      <c r="AU134" s="135"/>
      <c r="AV134" s="135"/>
      <c r="AW134" s="135"/>
      <c r="AX134" s="135"/>
      <c r="AY134" s="135"/>
      <c r="AZ134" s="135"/>
      <c r="BA134" s="135"/>
      <c r="BB134" s="135"/>
      <c r="BC134" s="135"/>
      <c r="BD134" s="135"/>
      <c r="BE134" s="135"/>
      <c r="BF134" s="135"/>
      <c r="BG134" s="135"/>
      <c r="BH134" s="135"/>
      <c r="BI134" s="135"/>
      <c r="BJ134" s="135"/>
      <c r="BK134" s="135"/>
      <c r="BL134" s="135"/>
      <c r="BM134" s="135"/>
      <c r="BN134" s="135"/>
      <c r="BO134" s="135"/>
      <c r="BP134" s="135"/>
      <c r="BQ134" s="135"/>
      <c r="BR134" s="135"/>
      <c r="BS134" s="135"/>
      <c r="BT134" s="135"/>
      <c r="BU134" s="135"/>
      <c r="BV134" s="135"/>
      <c r="BW134" s="135"/>
      <c r="BX134" s="135"/>
      <c r="BY134" s="135"/>
      <c r="BZ134" s="135"/>
      <c r="CA134" s="135"/>
      <c r="CB134" s="700"/>
      <c r="CC134" s="700"/>
      <c r="CD134" s="700"/>
      <c r="CE134" s="700"/>
      <c r="CF134" s="700"/>
      <c r="CG134" s="128"/>
      <c r="CH134" s="128"/>
      <c r="CI134" s="128"/>
      <c r="CJ134" s="128"/>
      <c r="CK134" s="128"/>
      <c r="CL134" s="128"/>
      <c r="CM134" s="128"/>
      <c r="CN134" s="128"/>
      <c r="CO134" s="128"/>
      <c r="CP134" s="128"/>
      <c r="CQ134" s="128"/>
      <c r="CR134" s="128"/>
      <c r="CS134" s="128"/>
      <c r="CT134" s="128"/>
      <c r="CU134" s="128"/>
      <c r="CV134" s="128"/>
      <c r="CW134" s="128"/>
      <c r="CX134" s="128"/>
      <c r="CY134" s="128"/>
      <c r="CZ134" s="128"/>
    </row>
    <row r="135" spans="1:104" s="431" customFormat="1" ht="24.6" customHeight="1">
      <c r="A135" s="432">
        <v>45</v>
      </c>
      <c r="B135" s="454" t="s">
        <v>866</v>
      </c>
      <c r="C135" s="454"/>
      <c r="D135" s="454"/>
      <c r="E135" s="135"/>
      <c r="F135" s="135"/>
      <c r="G135" s="135"/>
      <c r="H135" s="135"/>
      <c r="I135" s="135"/>
      <c r="J135" s="135"/>
      <c r="K135" s="135"/>
      <c r="L135" s="135"/>
      <c r="M135" s="135"/>
      <c r="N135" s="135"/>
      <c r="O135" s="716"/>
      <c r="P135" s="716"/>
      <c r="Q135" s="716"/>
      <c r="R135" s="716"/>
      <c r="S135" s="716"/>
      <c r="T135" s="716"/>
      <c r="U135" s="716"/>
      <c r="V135" s="135"/>
      <c r="W135" s="135"/>
      <c r="X135" s="135"/>
      <c r="Y135" s="135"/>
      <c r="Z135" s="135"/>
      <c r="AA135" s="135"/>
      <c r="AB135" s="135"/>
      <c r="AC135" s="135"/>
      <c r="AD135" s="135"/>
      <c r="AE135" s="135"/>
      <c r="AF135" s="135"/>
      <c r="AG135" s="135"/>
      <c r="AH135" s="135"/>
      <c r="AI135" s="135"/>
      <c r="AJ135" s="135"/>
      <c r="AK135" s="135"/>
      <c r="AL135" s="135"/>
      <c r="AM135" s="135"/>
      <c r="AN135" s="135"/>
      <c r="AO135" s="135"/>
      <c r="AP135" s="135"/>
      <c r="AQ135" s="135"/>
      <c r="AR135" s="135"/>
      <c r="AS135" s="135">
        <v>1</v>
      </c>
      <c r="AT135" s="716"/>
      <c r="AU135" s="135"/>
      <c r="AV135" s="135"/>
      <c r="AW135" s="135"/>
      <c r="AX135" s="135"/>
      <c r="AY135" s="135"/>
      <c r="AZ135" s="135"/>
      <c r="BA135" s="135"/>
      <c r="BB135" s="135"/>
      <c r="BC135" s="135"/>
      <c r="BD135" s="135"/>
      <c r="BE135" s="135"/>
      <c r="BF135" s="135"/>
      <c r="BG135" s="135"/>
      <c r="BH135" s="135"/>
      <c r="BI135" s="135"/>
      <c r="BJ135" s="135"/>
      <c r="BK135" s="135"/>
      <c r="BL135" s="135"/>
      <c r="BM135" s="135"/>
      <c r="BN135" s="135"/>
      <c r="BO135" s="135"/>
      <c r="BP135" s="135"/>
      <c r="BQ135" s="135"/>
      <c r="BR135" s="135"/>
      <c r="BS135" s="135"/>
      <c r="BT135" s="135"/>
      <c r="BU135" s="135"/>
      <c r="BV135" s="135"/>
      <c r="BW135" s="135"/>
      <c r="BX135" s="135"/>
      <c r="BY135" s="135"/>
      <c r="BZ135" s="135"/>
      <c r="CA135" s="135"/>
      <c r="CB135" s="700"/>
      <c r="CC135" s="700"/>
      <c r="CD135" s="700"/>
      <c r="CE135" s="700"/>
      <c r="CF135" s="700"/>
      <c r="CG135" s="128"/>
      <c r="CH135" s="128"/>
      <c r="CI135" s="128"/>
      <c r="CJ135" s="128"/>
      <c r="CK135" s="128"/>
      <c r="CL135" s="128"/>
      <c r="CM135" s="128"/>
      <c r="CN135" s="128"/>
      <c r="CO135" s="128"/>
      <c r="CP135" s="128"/>
      <c r="CQ135" s="128"/>
      <c r="CR135" s="128"/>
      <c r="CS135" s="128"/>
      <c r="CT135" s="128"/>
      <c r="CU135" s="128"/>
      <c r="CV135" s="128"/>
      <c r="CW135" s="128"/>
      <c r="CX135" s="128"/>
      <c r="CY135" s="128"/>
      <c r="CZ135" s="128"/>
    </row>
    <row r="136" spans="1:104" s="431" customFormat="1" ht="24.6" customHeight="1">
      <c r="A136" s="432">
        <v>46</v>
      </c>
      <c r="B136" s="454" t="s">
        <v>867</v>
      </c>
      <c r="C136" s="454"/>
      <c r="D136" s="454"/>
      <c r="E136" s="135"/>
      <c r="F136" s="135"/>
      <c r="G136" s="135"/>
      <c r="H136" s="135"/>
      <c r="I136" s="135"/>
      <c r="J136" s="135"/>
      <c r="K136" s="135"/>
      <c r="L136" s="135"/>
      <c r="M136" s="135"/>
      <c r="N136" s="135"/>
      <c r="O136" s="716"/>
      <c r="P136" s="716"/>
      <c r="Q136" s="716"/>
      <c r="R136" s="716"/>
      <c r="S136" s="716"/>
      <c r="T136" s="716"/>
      <c r="U136" s="716"/>
      <c r="V136" s="135"/>
      <c r="W136" s="135"/>
      <c r="X136" s="135"/>
      <c r="Y136" s="135"/>
      <c r="Z136" s="135"/>
      <c r="AA136" s="135"/>
      <c r="AB136" s="135"/>
      <c r="AC136" s="135"/>
      <c r="AD136" s="135"/>
      <c r="AE136" s="135"/>
      <c r="AF136" s="135"/>
      <c r="AG136" s="135"/>
      <c r="AH136" s="135"/>
      <c r="AI136" s="135"/>
      <c r="AJ136" s="135"/>
      <c r="AK136" s="135"/>
      <c r="AL136" s="135"/>
      <c r="AM136" s="135"/>
      <c r="AN136" s="135"/>
      <c r="AO136" s="135"/>
      <c r="AP136" s="135"/>
      <c r="AQ136" s="135"/>
      <c r="AR136" s="135"/>
      <c r="AS136" s="135">
        <v>1</v>
      </c>
      <c r="AT136" s="716"/>
      <c r="AU136" s="135"/>
      <c r="AV136" s="135"/>
      <c r="AW136" s="135"/>
      <c r="AX136" s="135"/>
      <c r="AY136" s="135"/>
      <c r="AZ136" s="135"/>
      <c r="BA136" s="135"/>
      <c r="BB136" s="135"/>
      <c r="BC136" s="135"/>
      <c r="BD136" s="135"/>
      <c r="BE136" s="135"/>
      <c r="BF136" s="135"/>
      <c r="BG136" s="135"/>
      <c r="BH136" s="135"/>
      <c r="BI136" s="135"/>
      <c r="BJ136" s="135"/>
      <c r="BK136" s="135"/>
      <c r="BL136" s="135"/>
      <c r="BM136" s="135"/>
      <c r="BN136" s="135"/>
      <c r="BO136" s="135"/>
      <c r="BP136" s="135"/>
      <c r="BQ136" s="135"/>
      <c r="BR136" s="135"/>
      <c r="BS136" s="135"/>
      <c r="BT136" s="135"/>
      <c r="BU136" s="135"/>
      <c r="BV136" s="135"/>
      <c r="BW136" s="135"/>
      <c r="BX136" s="135"/>
      <c r="BY136" s="135"/>
      <c r="BZ136" s="135"/>
      <c r="CA136" s="135"/>
      <c r="CB136" s="700"/>
      <c r="CC136" s="700"/>
      <c r="CD136" s="700"/>
      <c r="CE136" s="700"/>
      <c r="CF136" s="700"/>
      <c r="CG136" s="128"/>
      <c r="CH136" s="128"/>
      <c r="CI136" s="128"/>
      <c r="CJ136" s="128"/>
      <c r="CK136" s="128"/>
      <c r="CL136" s="128"/>
      <c r="CM136" s="128"/>
      <c r="CN136" s="128"/>
      <c r="CO136" s="128"/>
      <c r="CP136" s="128"/>
      <c r="CQ136" s="128"/>
      <c r="CR136" s="128"/>
      <c r="CS136" s="128"/>
      <c r="CT136" s="128"/>
      <c r="CU136" s="128"/>
      <c r="CV136" s="128"/>
      <c r="CW136" s="128"/>
      <c r="CX136" s="128"/>
      <c r="CY136" s="128"/>
      <c r="CZ136" s="128"/>
    </row>
    <row r="137" spans="1:104" s="431" customFormat="1" ht="24.6" customHeight="1">
      <c r="A137" s="432">
        <v>47</v>
      </c>
      <c r="B137" s="454" t="s">
        <v>868</v>
      </c>
      <c r="C137" s="454"/>
      <c r="D137" s="454"/>
      <c r="E137" s="135"/>
      <c r="F137" s="135"/>
      <c r="G137" s="135"/>
      <c r="H137" s="135"/>
      <c r="I137" s="135"/>
      <c r="J137" s="135"/>
      <c r="K137" s="135"/>
      <c r="L137" s="135"/>
      <c r="M137" s="135"/>
      <c r="N137" s="135"/>
      <c r="O137" s="716"/>
      <c r="P137" s="716"/>
      <c r="Q137" s="716"/>
      <c r="R137" s="716"/>
      <c r="S137" s="716"/>
      <c r="T137" s="716"/>
      <c r="U137" s="716"/>
      <c r="V137" s="135"/>
      <c r="W137" s="135"/>
      <c r="X137" s="135"/>
      <c r="Y137" s="135"/>
      <c r="Z137" s="135"/>
      <c r="AA137" s="135"/>
      <c r="AB137" s="135"/>
      <c r="AC137" s="135"/>
      <c r="AD137" s="135"/>
      <c r="AE137" s="135"/>
      <c r="AF137" s="135"/>
      <c r="AG137" s="135"/>
      <c r="AH137" s="135"/>
      <c r="AI137" s="135"/>
      <c r="AJ137" s="135"/>
      <c r="AK137" s="135"/>
      <c r="AL137" s="135"/>
      <c r="AM137" s="135"/>
      <c r="AN137" s="135"/>
      <c r="AO137" s="135"/>
      <c r="AP137" s="135"/>
      <c r="AQ137" s="135"/>
      <c r="AR137" s="135"/>
      <c r="AS137" s="135">
        <v>1</v>
      </c>
      <c r="AT137" s="716"/>
      <c r="AU137" s="135"/>
      <c r="AV137" s="135"/>
      <c r="AW137" s="135"/>
      <c r="AX137" s="135"/>
      <c r="AY137" s="135"/>
      <c r="AZ137" s="135"/>
      <c r="BA137" s="135"/>
      <c r="BB137" s="135"/>
      <c r="BC137" s="135"/>
      <c r="BD137" s="135"/>
      <c r="BE137" s="135"/>
      <c r="BF137" s="135"/>
      <c r="BG137" s="135"/>
      <c r="BH137" s="135"/>
      <c r="BI137" s="135"/>
      <c r="BJ137" s="135"/>
      <c r="BK137" s="135"/>
      <c r="BL137" s="135"/>
      <c r="BM137" s="135"/>
      <c r="BN137" s="135"/>
      <c r="BO137" s="135"/>
      <c r="BP137" s="135"/>
      <c r="BQ137" s="135"/>
      <c r="BR137" s="135"/>
      <c r="BS137" s="135"/>
      <c r="BT137" s="135"/>
      <c r="BU137" s="135"/>
      <c r="BV137" s="135"/>
      <c r="BW137" s="135"/>
      <c r="BX137" s="135"/>
      <c r="BY137" s="135"/>
      <c r="BZ137" s="135"/>
      <c r="CA137" s="135"/>
      <c r="CB137" s="700"/>
      <c r="CC137" s="700"/>
      <c r="CD137" s="700"/>
      <c r="CE137" s="700"/>
      <c r="CF137" s="700"/>
      <c r="CG137" s="128"/>
      <c r="CH137" s="128"/>
      <c r="CI137" s="128"/>
      <c r="CJ137" s="128"/>
      <c r="CK137" s="128"/>
      <c r="CL137" s="128"/>
      <c r="CM137" s="128"/>
      <c r="CN137" s="128"/>
      <c r="CO137" s="128"/>
      <c r="CP137" s="128"/>
      <c r="CQ137" s="128"/>
      <c r="CR137" s="128"/>
      <c r="CS137" s="128"/>
      <c r="CT137" s="128"/>
      <c r="CU137" s="128"/>
      <c r="CV137" s="128"/>
      <c r="CW137" s="128"/>
      <c r="CX137" s="128"/>
      <c r="CY137" s="128"/>
      <c r="CZ137" s="128"/>
    </row>
    <row r="138" spans="1:104" s="431" customFormat="1" ht="24.6" customHeight="1">
      <c r="A138" s="432">
        <v>48</v>
      </c>
      <c r="B138" s="454" t="s">
        <v>588</v>
      </c>
      <c r="C138" s="454"/>
      <c r="D138" s="454"/>
      <c r="E138" s="135"/>
      <c r="F138" s="135"/>
      <c r="G138" s="135"/>
      <c r="H138" s="135"/>
      <c r="I138" s="135"/>
      <c r="J138" s="135"/>
      <c r="K138" s="135"/>
      <c r="L138" s="135"/>
      <c r="M138" s="135"/>
      <c r="N138" s="135"/>
      <c r="O138" s="716"/>
      <c r="P138" s="716"/>
      <c r="Q138" s="716"/>
      <c r="R138" s="716"/>
      <c r="S138" s="716"/>
      <c r="T138" s="716"/>
      <c r="U138" s="716"/>
      <c r="V138" s="135"/>
      <c r="W138" s="135"/>
      <c r="X138" s="135"/>
      <c r="Y138" s="135"/>
      <c r="Z138" s="135"/>
      <c r="AA138" s="135"/>
      <c r="AB138" s="135"/>
      <c r="AC138" s="135"/>
      <c r="AD138" s="135"/>
      <c r="AE138" s="135"/>
      <c r="AF138" s="135"/>
      <c r="AG138" s="135"/>
      <c r="AH138" s="135"/>
      <c r="AI138" s="135"/>
      <c r="AJ138" s="135"/>
      <c r="AK138" s="135"/>
      <c r="AL138" s="135"/>
      <c r="AM138" s="135"/>
      <c r="AN138" s="135"/>
      <c r="AO138" s="135"/>
      <c r="AP138" s="135"/>
      <c r="AQ138" s="135"/>
      <c r="AR138" s="135"/>
      <c r="AS138" s="135">
        <v>1</v>
      </c>
      <c r="AT138" s="716"/>
      <c r="AU138" s="135"/>
      <c r="AV138" s="135"/>
      <c r="AW138" s="135"/>
      <c r="AX138" s="135"/>
      <c r="AY138" s="135"/>
      <c r="AZ138" s="135"/>
      <c r="BA138" s="135"/>
      <c r="BB138" s="135"/>
      <c r="BC138" s="135"/>
      <c r="BD138" s="135"/>
      <c r="BE138" s="135"/>
      <c r="BF138" s="135"/>
      <c r="BG138" s="135"/>
      <c r="BH138" s="135"/>
      <c r="BI138" s="135"/>
      <c r="BJ138" s="135"/>
      <c r="BK138" s="135"/>
      <c r="BL138" s="135"/>
      <c r="BM138" s="135"/>
      <c r="BN138" s="135"/>
      <c r="BO138" s="135"/>
      <c r="BP138" s="135"/>
      <c r="BQ138" s="135"/>
      <c r="BR138" s="135"/>
      <c r="BS138" s="135"/>
      <c r="BT138" s="135"/>
      <c r="BU138" s="135"/>
      <c r="BV138" s="135"/>
      <c r="BW138" s="135"/>
      <c r="BX138" s="135"/>
      <c r="BY138" s="135"/>
      <c r="BZ138" s="135"/>
      <c r="CA138" s="135"/>
      <c r="CB138" s="700"/>
      <c r="CC138" s="700"/>
      <c r="CD138" s="700"/>
      <c r="CE138" s="700"/>
      <c r="CF138" s="700"/>
      <c r="CG138" s="128"/>
      <c r="CH138" s="128"/>
      <c r="CI138" s="128"/>
      <c r="CJ138" s="128"/>
      <c r="CK138" s="128"/>
      <c r="CL138" s="128"/>
      <c r="CM138" s="128"/>
      <c r="CN138" s="128"/>
      <c r="CO138" s="128"/>
      <c r="CP138" s="128"/>
      <c r="CQ138" s="128"/>
      <c r="CR138" s="128"/>
      <c r="CS138" s="128"/>
      <c r="CT138" s="128"/>
      <c r="CU138" s="128"/>
      <c r="CV138" s="128"/>
      <c r="CW138" s="128"/>
      <c r="CX138" s="128"/>
      <c r="CY138" s="128"/>
      <c r="CZ138" s="128"/>
    </row>
    <row r="139" spans="1:104" s="431" customFormat="1" ht="24.6" customHeight="1">
      <c r="A139" s="432">
        <v>49</v>
      </c>
      <c r="B139" s="454" t="s">
        <v>869</v>
      </c>
      <c r="C139" s="454"/>
      <c r="D139" s="454"/>
      <c r="E139" s="135"/>
      <c r="F139" s="135"/>
      <c r="G139" s="135"/>
      <c r="H139" s="135"/>
      <c r="I139" s="135"/>
      <c r="J139" s="135"/>
      <c r="K139" s="135"/>
      <c r="L139" s="135"/>
      <c r="M139" s="135"/>
      <c r="N139" s="135"/>
      <c r="O139" s="716"/>
      <c r="P139" s="716"/>
      <c r="Q139" s="716"/>
      <c r="R139" s="716"/>
      <c r="S139" s="716"/>
      <c r="T139" s="716"/>
      <c r="U139" s="716"/>
      <c r="V139" s="135"/>
      <c r="W139" s="135"/>
      <c r="X139" s="135"/>
      <c r="Y139" s="135"/>
      <c r="Z139" s="135"/>
      <c r="AA139" s="135"/>
      <c r="AB139" s="135"/>
      <c r="AC139" s="135"/>
      <c r="AD139" s="135"/>
      <c r="AE139" s="135"/>
      <c r="AF139" s="135"/>
      <c r="AG139" s="135"/>
      <c r="AH139" s="135"/>
      <c r="AI139" s="135"/>
      <c r="AJ139" s="135"/>
      <c r="AK139" s="135"/>
      <c r="AL139" s="135"/>
      <c r="AM139" s="135"/>
      <c r="AN139" s="135"/>
      <c r="AO139" s="135"/>
      <c r="AP139" s="135"/>
      <c r="AQ139" s="135"/>
      <c r="AR139" s="135"/>
      <c r="AS139" s="135">
        <v>1</v>
      </c>
      <c r="AT139" s="716"/>
      <c r="AU139" s="135"/>
      <c r="AV139" s="135"/>
      <c r="AW139" s="135"/>
      <c r="AX139" s="135"/>
      <c r="AY139" s="135"/>
      <c r="AZ139" s="135"/>
      <c r="BA139" s="135"/>
      <c r="BB139" s="135"/>
      <c r="BC139" s="135"/>
      <c r="BD139" s="135"/>
      <c r="BE139" s="135"/>
      <c r="BF139" s="135"/>
      <c r="BG139" s="135"/>
      <c r="BH139" s="135"/>
      <c r="BI139" s="135"/>
      <c r="BJ139" s="135"/>
      <c r="BK139" s="135"/>
      <c r="BL139" s="135"/>
      <c r="BM139" s="135"/>
      <c r="BN139" s="135"/>
      <c r="BO139" s="135"/>
      <c r="BP139" s="135"/>
      <c r="BQ139" s="135"/>
      <c r="BR139" s="135"/>
      <c r="BS139" s="135"/>
      <c r="BT139" s="135"/>
      <c r="BU139" s="135"/>
      <c r="BV139" s="135"/>
      <c r="BW139" s="135"/>
      <c r="BX139" s="135"/>
      <c r="BY139" s="135"/>
      <c r="BZ139" s="135"/>
      <c r="CA139" s="135"/>
      <c r="CB139" s="700"/>
      <c r="CC139" s="700"/>
      <c r="CD139" s="700"/>
      <c r="CE139" s="700"/>
      <c r="CF139" s="700"/>
      <c r="CG139" s="128"/>
      <c r="CH139" s="128"/>
      <c r="CI139" s="128"/>
      <c r="CJ139" s="128"/>
      <c r="CK139" s="128"/>
      <c r="CL139" s="128"/>
      <c r="CM139" s="128"/>
      <c r="CN139" s="128"/>
      <c r="CO139" s="128"/>
      <c r="CP139" s="128"/>
      <c r="CQ139" s="128"/>
      <c r="CR139" s="128"/>
      <c r="CS139" s="128"/>
      <c r="CT139" s="128"/>
      <c r="CU139" s="128"/>
      <c r="CV139" s="128"/>
      <c r="CW139" s="128"/>
      <c r="CX139" s="128"/>
      <c r="CY139" s="128"/>
      <c r="CZ139" s="128"/>
    </row>
    <row r="140" spans="1:104" s="431" customFormat="1" ht="24.6" customHeight="1">
      <c r="A140" s="432">
        <v>50</v>
      </c>
      <c r="B140" s="454" t="s">
        <v>870</v>
      </c>
      <c r="C140" s="454"/>
      <c r="D140" s="454"/>
      <c r="E140" s="135"/>
      <c r="F140" s="135"/>
      <c r="G140" s="135"/>
      <c r="H140" s="135"/>
      <c r="I140" s="135"/>
      <c r="J140" s="135"/>
      <c r="K140" s="135"/>
      <c r="L140" s="135"/>
      <c r="M140" s="135"/>
      <c r="N140" s="135"/>
      <c r="O140" s="716"/>
      <c r="P140" s="716"/>
      <c r="Q140" s="716"/>
      <c r="R140" s="716"/>
      <c r="S140" s="716"/>
      <c r="T140" s="716"/>
      <c r="U140" s="716"/>
      <c r="V140" s="135"/>
      <c r="W140" s="135"/>
      <c r="X140" s="135"/>
      <c r="Y140" s="135"/>
      <c r="Z140" s="135"/>
      <c r="AA140" s="135"/>
      <c r="AB140" s="135"/>
      <c r="AC140" s="135"/>
      <c r="AD140" s="135"/>
      <c r="AE140" s="135"/>
      <c r="AF140" s="135"/>
      <c r="AG140" s="135"/>
      <c r="AH140" s="135"/>
      <c r="AI140" s="135"/>
      <c r="AJ140" s="135"/>
      <c r="AK140" s="135"/>
      <c r="AL140" s="135"/>
      <c r="AM140" s="135"/>
      <c r="AN140" s="135"/>
      <c r="AO140" s="135"/>
      <c r="AP140" s="135"/>
      <c r="AQ140" s="135"/>
      <c r="AR140" s="135"/>
      <c r="AS140" s="135">
        <v>1</v>
      </c>
      <c r="AT140" s="716"/>
      <c r="AU140" s="135"/>
      <c r="AV140" s="135"/>
      <c r="AW140" s="135"/>
      <c r="AX140" s="135"/>
      <c r="AY140" s="135"/>
      <c r="AZ140" s="135"/>
      <c r="BA140" s="135"/>
      <c r="BB140" s="135"/>
      <c r="BC140" s="135"/>
      <c r="BD140" s="135"/>
      <c r="BE140" s="135"/>
      <c r="BF140" s="135"/>
      <c r="BG140" s="135"/>
      <c r="BH140" s="135"/>
      <c r="BI140" s="135"/>
      <c r="BJ140" s="135"/>
      <c r="BK140" s="135"/>
      <c r="BL140" s="135"/>
      <c r="BM140" s="135"/>
      <c r="BN140" s="135"/>
      <c r="BO140" s="135"/>
      <c r="BP140" s="135"/>
      <c r="BQ140" s="135"/>
      <c r="BR140" s="135"/>
      <c r="BS140" s="135"/>
      <c r="BT140" s="135"/>
      <c r="BU140" s="135"/>
      <c r="BV140" s="135"/>
      <c r="BW140" s="135"/>
      <c r="BX140" s="135"/>
      <c r="BY140" s="135"/>
      <c r="BZ140" s="135"/>
      <c r="CA140" s="135"/>
      <c r="CB140" s="700"/>
      <c r="CC140" s="700"/>
      <c r="CD140" s="700"/>
      <c r="CE140" s="700"/>
      <c r="CF140" s="700"/>
      <c r="CG140" s="128"/>
      <c r="CH140" s="128"/>
      <c r="CI140" s="128"/>
      <c r="CJ140" s="128"/>
      <c r="CK140" s="128"/>
      <c r="CL140" s="128"/>
      <c r="CM140" s="128"/>
      <c r="CN140" s="128"/>
      <c r="CO140" s="128"/>
      <c r="CP140" s="128"/>
      <c r="CQ140" s="128"/>
      <c r="CR140" s="128"/>
      <c r="CS140" s="128"/>
      <c r="CT140" s="128"/>
      <c r="CU140" s="128"/>
      <c r="CV140" s="128"/>
      <c r="CW140" s="128"/>
      <c r="CX140" s="128"/>
      <c r="CY140" s="128"/>
      <c r="CZ140" s="128"/>
    </row>
    <row r="141" spans="1:104" s="431" customFormat="1" ht="24.6" customHeight="1">
      <c r="A141" s="432">
        <v>51</v>
      </c>
      <c r="B141" s="454" t="s">
        <v>871</v>
      </c>
      <c r="C141" s="454"/>
      <c r="D141" s="454"/>
      <c r="E141" s="135"/>
      <c r="F141" s="135"/>
      <c r="G141" s="135"/>
      <c r="H141" s="135"/>
      <c r="I141" s="135"/>
      <c r="J141" s="135"/>
      <c r="K141" s="135"/>
      <c r="L141" s="135"/>
      <c r="M141" s="135"/>
      <c r="N141" s="135"/>
      <c r="O141" s="716"/>
      <c r="P141" s="716"/>
      <c r="Q141" s="716"/>
      <c r="R141" s="716"/>
      <c r="S141" s="716"/>
      <c r="T141" s="716"/>
      <c r="U141" s="716"/>
      <c r="V141" s="135"/>
      <c r="W141" s="135"/>
      <c r="X141" s="135"/>
      <c r="Y141" s="135"/>
      <c r="Z141" s="135"/>
      <c r="AA141" s="135"/>
      <c r="AB141" s="135"/>
      <c r="AC141" s="135"/>
      <c r="AD141" s="135"/>
      <c r="AE141" s="135"/>
      <c r="AF141" s="135"/>
      <c r="AG141" s="135"/>
      <c r="AH141" s="135"/>
      <c r="AI141" s="135"/>
      <c r="AJ141" s="135"/>
      <c r="AK141" s="135"/>
      <c r="AL141" s="135"/>
      <c r="AM141" s="135"/>
      <c r="AN141" s="135"/>
      <c r="AO141" s="135"/>
      <c r="AP141" s="135"/>
      <c r="AQ141" s="135"/>
      <c r="AR141" s="135"/>
      <c r="AS141" s="135">
        <v>1</v>
      </c>
      <c r="AT141" s="716"/>
      <c r="AU141" s="135"/>
      <c r="AV141" s="135"/>
      <c r="AW141" s="135"/>
      <c r="AX141" s="135"/>
      <c r="AY141" s="135"/>
      <c r="AZ141" s="135"/>
      <c r="BA141" s="135"/>
      <c r="BB141" s="135"/>
      <c r="BC141" s="135"/>
      <c r="BD141" s="135"/>
      <c r="BE141" s="135"/>
      <c r="BF141" s="135"/>
      <c r="BG141" s="135"/>
      <c r="BH141" s="135"/>
      <c r="BI141" s="135"/>
      <c r="BJ141" s="135"/>
      <c r="BK141" s="135"/>
      <c r="BL141" s="135"/>
      <c r="BM141" s="135"/>
      <c r="BN141" s="135"/>
      <c r="BO141" s="135"/>
      <c r="BP141" s="135"/>
      <c r="BQ141" s="135"/>
      <c r="BR141" s="135"/>
      <c r="BS141" s="135"/>
      <c r="BT141" s="135"/>
      <c r="BU141" s="135"/>
      <c r="BV141" s="135"/>
      <c r="BW141" s="135"/>
      <c r="BX141" s="135"/>
      <c r="BY141" s="135"/>
      <c r="BZ141" s="135"/>
      <c r="CA141" s="135"/>
      <c r="CB141" s="700"/>
      <c r="CC141" s="700"/>
      <c r="CD141" s="700"/>
      <c r="CE141" s="700"/>
      <c r="CF141" s="700"/>
      <c r="CG141" s="128"/>
      <c r="CH141" s="128"/>
      <c r="CI141" s="128"/>
      <c r="CJ141" s="128"/>
      <c r="CK141" s="128"/>
      <c r="CL141" s="128"/>
      <c r="CM141" s="128"/>
      <c r="CN141" s="128"/>
      <c r="CO141" s="128"/>
      <c r="CP141" s="128"/>
      <c r="CQ141" s="128"/>
      <c r="CR141" s="128"/>
      <c r="CS141" s="128"/>
      <c r="CT141" s="128"/>
      <c r="CU141" s="128"/>
      <c r="CV141" s="128"/>
      <c r="CW141" s="128"/>
      <c r="CX141" s="128"/>
      <c r="CY141" s="128"/>
      <c r="CZ141" s="128"/>
    </row>
    <row r="142" spans="1:104" s="431" customFormat="1" ht="24.6" customHeight="1">
      <c r="A142" s="432">
        <v>52</v>
      </c>
      <c r="B142" s="454" t="s">
        <v>872</v>
      </c>
      <c r="C142" s="454"/>
      <c r="D142" s="454"/>
      <c r="E142" s="135"/>
      <c r="F142" s="135"/>
      <c r="G142" s="135"/>
      <c r="H142" s="135"/>
      <c r="I142" s="135"/>
      <c r="J142" s="135"/>
      <c r="K142" s="135"/>
      <c r="L142" s="135"/>
      <c r="M142" s="135"/>
      <c r="N142" s="135"/>
      <c r="O142" s="716"/>
      <c r="P142" s="716"/>
      <c r="Q142" s="716"/>
      <c r="R142" s="716"/>
      <c r="S142" s="716"/>
      <c r="T142" s="716"/>
      <c r="U142" s="716"/>
      <c r="V142" s="135"/>
      <c r="W142" s="135"/>
      <c r="X142" s="135"/>
      <c r="Y142" s="135"/>
      <c r="Z142" s="135"/>
      <c r="AA142" s="135"/>
      <c r="AB142" s="135"/>
      <c r="AC142" s="135"/>
      <c r="AD142" s="135"/>
      <c r="AE142" s="135"/>
      <c r="AF142" s="135"/>
      <c r="AG142" s="135"/>
      <c r="AH142" s="135"/>
      <c r="AI142" s="135"/>
      <c r="AJ142" s="135"/>
      <c r="AK142" s="135"/>
      <c r="AL142" s="135"/>
      <c r="AM142" s="135"/>
      <c r="AN142" s="135"/>
      <c r="AO142" s="135"/>
      <c r="AP142" s="135"/>
      <c r="AQ142" s="135"/>
      <c r="AR142" s="135"/>
      <c r="AS142" s="135">
        <v>1</v>
      </c>
      <c r="AT142" s="716"/>
      <c r="AU142" s="135"/>
      <c r="AV142" s="135"/>
      <c r="AW142" s="135"/>
      <c r="AX142" s="135"/>
      <c r="AY142" s="135"/>
      <c r="AZ142" s="135"/>
      <c r="BA142" s="135"/>
      <c r="BB142" s="135"/>
      <c r="BC142" s="135"/>
      <c r="BD142" s="135"/>
      <c r="BE142" s="135"/>
      <c r="BF142" s="135"/>
      <c r="BG142" s="135"/>
      <c r="BH142" s="135"/>
      <c r="BI142" s="135"/>
      <c r="BJ142" s="135"/>
      <c r="BK142" s="135"/>
      <c r="BL142" s="135"/>
      <c r="BM142" s="135"/>
      <c r="BN142" s="135"/>
      <c r="BO142" s="135"/>
      <c r="BP142" s="135"/>
      <c r="BQ142" s="135"/>
      <c r="BR142" s="135"/>
      <c r="BS142" s="135"/>
      <c r="BT142" s="135"/>
      <c r="BU142" s="135"/>
      <c r="BV142" s="135"/>
      <c r="BW142" s="135"/>
      <c r="BX142" s="135"/>
      <c r="BY142" s="135"/>
      <c r="BZ142" s="135"/>
      <c r="CA142" s="135"/>
      <c r="CB142" s="700"/>
      <c r="CC142" s="700"/>
      <c r="CD142" s="700"/>
      <c r="CE142" s="700"/>
      <c r="CF142" s="700"/>
      <c r="CG142" s="128"/>
      <c r="CH142" s="128"/>
      <c r="CI142" s="128"/>
      <c r="CJ142" s="128"/>
      <c r="CK142" s="128"/>
      <c r="CL142" s="128"/>
      <c r="CM142" s="128"/>
      <c r="CN142" s="128"/>
      <c r="CO142" s="128"/>
      <c r="CP142" s="128"/>
      <c r="CQ142" s="128"/>
      <c r="CR142" s="128"/>
      <c r="CS142" s="128"/>
      <c r="CT142" s="128"/>
      <c r="CU142" s="128"/>
      <c r="CV142" s="128"/>
      <c r="CW142" s="128"/>
      <c r="CX142" s="128"/>
      <c r="CY142" s="128"/>
      <c r="CZ142" s="128"/>
    </row>
    <row r="143" spans="1:104" s="431" customFormat="1" ht="24.6" customHeight="1">
      <c r="A143" s="432">
        <v>53</v>
      </c>
      <c r="B143" s="454" t="s">
        <v>873</v>
      </c>
      <c r="C143" s="454"/>
      <c r="D143" s="454"/>
      <c r="E143" s="135"/>
      <c r="F143" s="135"/>
      <c r="G143" s="135"/>
      <c r="H143" s="135"/>
      <c r="I143" s="135"/>
      <c r="J143" s="135"/>
      <c r="K143" s="135"/>
      <c r="L143" s="135"/>
      <c r="M143" s="135"/>
      <c r="N143" s="135"/>
      <c r="O143" s="716"/>
      <c r="P143" s="716"/>
      <c r="Q143" s="716"/>
      <c r="R143" s="716"/>
      <c r="S143" s="716"/>
      <c r="T143" s="716"/>
      <c r="U143" s="716"/>
      <c r="V143" s="135"/>
      <c r="W143" s="135"/>
      <c r="X143" s="135"/>
      <c r="Y143" s="135"/>
      <c r="Z143" s="135"/>
      <c r="AA143" s="135"/>
      <c r="AB143" s="135"/>
      <c r="AC143" s="135"/>
      <c r="AD143" s="135"/>
      <c r="AE143" s="135"/>
      <c r="AF143" s="135"/>
      <c r="AG143" s="135"/>
      <c r="AH143" s="135"/>
      <c r="AI143" s="135"/>
      <c r="AJ143" s="135"/>
      <c r="AK143" s="135"/>
      <c r="AL143" s="135"/>
      <c r="AM143" s="135"/>
      <c r="AN143" s="135"/>
      <c r="AO143" s="135"/>
      <c r="AP143" s="135"/>
      <c r="AQ143" s="135"/>
      <c r="AR143" s="135"/>
      <c r="AS143" s="135">
        <v>1</v>
      </c>
      <c r="AT143" s="716"/>
      <c r="AU143" s="135"/>
      <c r="AV143" s="135"/>
      <c r="AW143" s="135"/>
      <c r="AX143" s="135"/>
      <c r="AY143" s="135"/>
      <c r="AZ143" s="135"/>
      <c r="BA143" s="135"/>
      <c r="BB143" s="135"/>
      <c r="BC143" s="135"/>
      <c r="BD143" s="135"/>
      <c r="BE143" s="135"/>
      <c r="BF143" s="135"/>
      <c r="BG143" s="135"/>
      <c r="BH143" s="135"/>
      <c r="BI143" s="135"/>
      <c r="BJ143" s="135"/>
      <c r="BK143" s="135"/>
      <c r="BL143" s="135"/>
      <c r="BM143" s="135"/>
      <c r="BN143" s="135"/>
      <c r="BO143" s="135"/>
      <c r="BP143" s="135"/>
      <c r="BQ143" s="135"/>
      <c r="BR143" s="135"/>
      <c r="BS143" s="135"/>
      <c r="BT143" s="135"/>
      <c r="BU143" s="135"/>
      <c r="BV143" s="135"/>
      <c r="BW143" s="135"/>
      <c r="BX143" s="135"/>
      <c r="BY143" s="135"/>
      <c r="BZ143" s="135"/>
      <c r="CA143" s="135"/>
      <c r="CB143" s="700"/>
      <c r="CC143" s="700"/>
      <c r="CD143" s="700"/>
      <c r="CE143" s="700"/>
      <c r="CF143" s="700"/>
      <c r="CG143" s="128"/>
      <c r="CH143" s="128"/>
      <c r="CI143" s="128"/>
      <c r="CJ143" s="128"/>
      <c r="CK143" s="128"/>
      <c r="CL143" s="128"/>
      <c r="CM143" s="128"/>
      <c r="CN143" s="128"/>
      <c r="CO143" s="128"/>
      <c r="CP143" s="128"/>
      <c r="CQ143" s="128"/>
      <c r="CR143" s="128"/>
      <c r="CS143" s="128"/>
      <c r="CT143" s="128"/>
      <c r="CU143" s="128"/>
      <c r="CV143" s="128"/>
      <c r="CW143" s="128"/>
      <c r="CX143" s="128"/>
      <c r="CY143" s="128"/>
      <c r="CZ143" s="128"/>
    </row>
    <row r="144" spans="1:104" s="431" customFormat="1" ht="24.6" customHeight="1">
      <c r="A144" s="432">
        <v>54</v>
      </c>
      <c r="B144" s="454" t="s">
        <v>874</v>
      </c>
      <c r="C144" s="454"/>
      <c r="D144" s="454"/>
      <c r="E144" s="135"/>
      <c r="F144" s="135"/>
      <c r="G144" s="135"/>
      <c r="H144" s="135"/>
      <c r="I144" s="135"/>
      <c r="J144" s="135"/>
      <c r="K144" s="135"/>
      <c r="L144" s="135"/>
      <c r="M144" s="135"/>
      <c r="N144" s="135"/>
      <c r="O144" s="716"/>
      <c r="P144" s="716"/>
      <c r="Q144" s="716"/>
      <c r="R144" s="716"/>
      <c r="S144" s="716"/>
      <c r="T144" s="716"/>
      <c r="U144" s="716"/>
      <c r="V144" s="135"/>
      <c r="W144" s="135"/>
      <c r="X144" s="135"/>
      <c r="Y144" s="135"/>
      <c r="Z144" s="135"/>
      <c r="AA144" s="135"/>
      <c r="AB144" s="135"/>
      <c r="AC144" s="135"/>
      <c r="AD144" s="135"/>
      <c r="AE144" s="135"/>
      <c r="AF144" s="135"/>
      <c r="AG144" s="135"/>
      <c r="AH144" s="135"/>
      <c r="AI144" s="135"/>
      <c r="AJ144" s="135"/>
      <c r="AK144" s="135"/>
      <c r="AL144" s="135"/>
      <c r="AM144" s="135"/>
      <c r="AN144" s="135"/>
      <c r="AO144" s="135"/>
      <c r="AP144" s="135"/>
      <c r="AQ144" s="135"/>
      <c r="AR144" s="135"/>
      <c r="AS144" s="135">
        <v>1</v>
      </c>
      <c r="AT144" s="716"/>
      <c r="AU144" s="135"/>
      <c r="AV144" s="135"/>
      <c r="AW144" s="135"/>
      <c r="AX144" s="135"/>
      <c r="AY144" s="135"/>
      <c r="AZ144" s="135"/>
      <c r="BA144" s="135"/>
      <c r="BB144" s="135"/>
      <c r="BC144" s="135"/>
      <c r="BD144" s="135"/>
      <c r="BE144" s="135"/>
      <c r="BF144" s="135"/>
      <c r="BG144" s="135"/>
      <c r="BH144" s="135"/>
      <c r="BI144" s="135"/>
      <c r="BJ144" s="135"/>
      <c r="BK144" s="135"/>
      <c r="BL144" s="135"/>
      <c r="BM144" s="135"/>
      <c r="BN144" s="135"/>
      <c r="BO144" s="135"/>
      <c r="BP144" s="135"/>
      <c r="BQ144" s="135"/>
      <c r="BR144" s="135"/>
      <c r="BS144" s="135"/>
      <c r="BT144" s="135"/>
      <c r="BU144" s="135"/>
      <c r="BV144" s="135"/>
      <c r="BW144" s="135"/>
      <c r="BX144" s="135"/>
      <c r="BY144" s="135"/>
      <c r="BZ144" s="135"/>
      <c r="CA144" s="135"/>
      <c r="CB144" s="700"/>
      <c r="CC144" s="700"/>
      <c r="CD144" s="700"/>
      <c r="CE144" s="700"/>
      <c r="CF144" s="700"/>
      <c r="CG144" s="128"/>
      <c r="CH144" s="128"/>
      <c r="CI144" s="128"/>
      <c r="CJ144" s="128"/>
      <c r="CK144" s="128"/>
      <c r="CL144" s="128"/>
      <c r="CM144" s="128"/>
      <c r="CN144" s="128"/>
      <c r="CO144" s="128"/>
      <c r="CP144" s="128"/>
      <c r="CQ144" s="128"/>
      <c r="CR144" s="128"/>
      <c r="CS144" s="128"/>
      <c r="CT144" s="128"/>
      <c r="CU144" s="128"/>
      <c r="CV144" s="128"/>
      <c r="CW144" s="128"/>
      <c r="CX144" s="128"/>
      <c r="CY144" s="128"/>
      <c r="CZ144" s="128"/>
    </row>
    <row r="145" spans="1:104" s="431" customFormat="1" ht="24.6" customHeight="1">
      <c r="A145" s="432">
        <v>55</v>
      </c>
      <c r="B145" s="454" t="s">
        <v>875</v>
      </c>
      <c r="C145" s="454"/>
      <c r="D145" s="454"/>
      <c r="E145" s="135"/>
      <c r="F145" s="135"/>
      <c r="G145" s="135"/>
      <c r="H145" s="135"/>
      <c r="I145" s="135"/>
      <c r="J145" s="135"/>
      <c r="K145" s="135"/>
      <c r="L145" s="135"/>
      <c r="M145" s="135"/>
      <c r="N145" s="135"/>
      <c r="O145" s="716"/>
      <c r="P145" s="716"/>
      <c r="Q145" s="716"/>
      <c r="R145" s="716"/>
      <c r="S145" s="716"/>
      <c r="T145" s="716"/>
      <c r="U145" s="716"/>
      <c r="V145" s="135"/>
      <c r="W145" s="135"/>
      <c r="X145" s="135"/>
      <c r="Y145" s="135"/>
      <c r="Z145" s="135"/>
      <c r="AA145" s="135"/>
      <c r="AB145" s="135"/>
      <c r="AC145" s="135"/>
      <c r="AD145" s="135"/>
      <c r="AE145" s="135"/>
      <c r="AF145" s="135"/>
      <c r="AG145" s="135"/>
      <c r="AH145" s="135"/>
      <c r="AI145" s="135"/>
      <c r="AJ145" s="135"/>
      <c r="AK145" s="135"/>
      <c r="AL145" s="135"/>
      <c r="AM145" s="135"/>
      <c r="AN145" s="135"/>
      <c r="AO145" s="135"/>
      <c r="AP145" s="135"/>
      <c r="AQ145" s="135"/>
      <c r="AR145" s="135"/>
      <c r="AS145" s="135">
        <v>1</v>
      </c>
      <c r="AT145" s="716"/>
      <c r="AU145" s="135"/>
      <c r="AV145" s="135"/>
      <c r="AW145" s="135"/>
      <c r="AX145" s="135"/>
      <c r="AY145" s="135"/>
      <c r="AZ145" s="135"/>
      <c r="BA145" s="135"/>
      <c r="BB145" s="135"/>
      <c r="BC145" s="135"/>
      <c r="BD145" s="135"/>
      <c r="BE145" s="135"/>
      <c r="BF145" s="135"/>
      <c r="BG145" s="135"/>
      <c r="BH145" s="135"/>
      <c r="BI145" s="135"/>
      <c r="BJ145" s="135"/>
      <c r="BK145" s="135"/>
      <c r="BL145" s="135"/>
      <c r="BM145" s="135"/>
      <c r="BN145" s="135"/>
      <c r="BO145" s="135"/>
      <c r="BP145" s="135"/>
      <c r="BQ145" s="135"/>
      <c r="BR145" s="135"/>
      <c r="BS145" s="135"/>
      <c r="BT145" s="135"/>
      <c r="BU145" s="135"/>
      <c r="BV145" s="135"/>
      <c r="BW145" s="135"/>
      <c r="BX145" s="135"/>
      <c r="BY145" s="135"/>
      <c r="BZ145" s="135"/>
      <c r="CA145" s="135"/>
      <c r="CB145" s="700"/>
      <c r="CC145" s="700"/>
      <c r="CD145" s="700"/>
      <c r="CE145" s="700"/>
      <c r="CF145" s="700"/>
      <c r="CG145" s="128"/>
      <c r="CH145" s="128"/>
      <c r="CI145" s="128"/>
      <c r="CJ145" s="128"/>
      <c r="CK145" s="128"/>
      <c r="CL145" s="128"/>
      <c r="CM145" s="128"/>
      <c r="CN145" s="128"/>
      <c r="CO145" s="128"/>
      <c r="CP145" s="128"/>
      <c r="CQ145" s="128"/>
      <c r="CR145" s="128"/>
      <c r="CS145" s="128"/>
      <c r="CT145" s="128"/>
      <c r="CU145" s="128"/>
      <c r="CV145" s="128"/>
      <c r="CW145" s="128"/>
      <c r="CX145" s="128"/>
      <c r="CY145" s="128"/>
      <c r="CZ145" s="128"/>
    </row>
    <row r="146" spans="1:104" s="434" customFormat="1" ht="40.15" customHeight="1">
      <c r="A146" s="1011" t="s">
        <v>223</v>
      </c>
      <c r="B146" s="1011"/>
      <c r="C146" s="455"/>
      <c r="D146" s="433">
        <f>SUM(D5:D145)</f>
        <v>9</v>
      </c>
      <c r="E146" s="717">
        <f>SUM(E5:E145)</f>
        <v>132</v>
      </c>
      <c r="F146" s="717">
        <f t="shared" ref="F146:BU146" si="7">SUM(F5:F145)</f>
        <v>44</v>
      </c>
      <c r="G146" s="717">
        <f t="shared" si="7"/>
        <v>72</v>
      </c>
      <c r="H146" s="717">
        <f t="shared" si="7"/>
        <v>24</v>
      </c>
      <c r="I146" s="721">
        <f t="shared" si="7"/>
        <v>135</v>
      </c>
      <c r="J146" s="721">
        <f t="shared" si="7"/>
        <v>204</v>
      </c>
      <c r="K146" s="721">
        <f t="shared" si="7"/>
        <v>4</v>
      </c>
      <c r="L146" s="721">
        <f t="shared" si="7"/>
        <v>22</v>
      </c>
      <c r="M146" s="433">
        <f t="shared" si="7"/>
        <v>4</v>
      </c>
      <c r="N146" s="433">
        <f t="shared" si="7"/>
        <v>22</v>
      </c>
      <c r="O146" s="717">
        <f t="shared" si="7"/>
        <v>2</v>
      </c>
      <c r="P146" s="717">
        <f t="shared" si="7"/>
        <v>8</v>
      </c>
      <c r="Q146" s="717">
        <f t="shared" si="7"/>
        <v>1</v>
      </c>
      <c r="R146" s="717">
        <f t="shared" si="7"/>
        <v>45</v>
      </c>
      <c r="S146" s="717">
        <f t="shared" si="7"/>
        <v>4</v>
      </c>
      <c r="T146" s="717">
        <f t="shared" si="7"/>
        <v>2</v>
      </c>
      <c r="U146" s="717">
        <f t="shared" si="7"/>
        <v>1</v>
      </c>
      <c r="V146" s="433">
        <f t="shared" si="7"/>
        <v>42</v>
      </c>
      <c r="W146" s="433">
        <f t="shared" si="7"/>
        <v>12</v>
      </c>
      <c r="X146" s="433">
        <f t="shared" si="7"/>
        <v>6</v>
      </c>
      <c r="Y146" s="433">
        <f t="shared" si="7"/>
        <v>117</v>
      </c>
      <c r="Z146" s="433">
        <f t="shared" si="7"/>
        <v>54</v>
      </c>
      <c r="AA146" s="433">
        <f t="shared" si="7"/>
        <v>3</v>
      </c>
      <c r="AB146" s="433">
        <f t="shared" si="7"/>
        <v>3</v>
      </c>
      <c r="AC146" s="433">
        <f t="shared" si="7"/>
        <v>51</v>
      </c>
      <c r="AD146" s="433">
        <f t="shared" si="7"/>
        <v>3</v>
      </c>
      <c r="AE146" s="433">
        <f t="shared" si="7"/>
        <v>6</v>
      </c>
      <c r="AF146" s="433">
        <f t="shared" si="7"/>
        <v>24</v>
      </c>
      <c r="AG146" s="433">
        <f t="shared" si="7"/>
        <v>5</v>
      </c>
      <c r="AH146" s="433">
        <f t="shared" si="7"/>
        <v>63</v>
      </c>
      <c r="AI146" s="433">
        <f t="shared" si="7"/>
        <v>14</v>
      </c>
      <c r="AJ146" s="433">
        <f t="shared" si="7"/>
        <v>42</v>
      </c>
      <c r="AK146" s="433">
        <f t="shared" si="7"/>
        <v>51</v>
      </c>
      <c r="AL146" s="433">
        <f t="shared" si="7"/>
        <v>53</v>
      </c>
      <c r="AM146" s="433">
        <f t="shared" si="7"/>
        <v>94</v>
      </c>
      <c r="AN146" s="433">
        <f t="shared" si="7"/>
        <v>27</v>
      </c>
      <c r="AO146" s="433">
        <f t="shared" si="7"/>
        <v>6</v>
      </c>
      <c r="AP146" s="433">
        <f t="shared" si="7"/>
        <v>12</v>
      </c>
      <c r="AQ146" s="433">
        <f t="shared" si="7"/>
        <v>6</v>
      </c>
      <c r="AR146" s="433">
        <f t="shared" si="7"/>
        <v>17</v>
      </c>
      <c r="AS146" s="433">
        <f t="shared" si="7"/>
        <v>38</v>
      </c>
      <c r="AT146" s="717">
        <f t="shared" si="7"/>
        <v>54</v>
      </c>
      <c r="AU146" s="433">
        <f t="shared" si="7"/>
        <v>9</v>
      </c>
      <c r="AV146" s="433">
        <f t="shared" si="7"/>
        <v>18</v>
      </c>
      <c r="AW146" s="433">
        <f t="shared" si="7"/>
        <v>12</v>
      </c>
      <c r="AX146" s="433">
        <f t="shared" si="7"/>
        <v>85</v>
      </c>
      <c r="AY146" s="433">
        <f t="shared" si="7"/>
        <v>99</v>
      </c>
      <c r="AZ146" s="433">
        <f t="shared" si="7"/>
        <v>33</v>
      </c>
      <c r="BA146" s="433">
        <f t="shared" si="7"/>
        <v>54</v>
      </c>
      <c r="BB146" s="433">
        <f t="shared" si="7"/>
        <v>18</v>
      </c>
      <c r="BC146" s="433">
        <f t="shared" si="7"/>
        <v>135</v>
      </c>
      <c r="BD146" s="433">
        <f t="shared" si="7"/>
        <v>204</v>
      </c>
      <c r="BE146" s="433">
        <f t="shared" si="7"/>
        <v>4</v>
      </c>
      <c r="BF146" s="433">
        <f t="shared" si="7"/>
        <v>22</v>
      </c>
      <c r="BG146" s="433">
        <f t="shared" si="7"/>
        <v>2</v>
      </c>
      <c r="BH146" s="433">
        <f t="shared" si="7"/>
        <v>9</v>
      </c>
      <c r="BI146" s="433">
        <f t="shared" si="7"/>
        <v>1</v>
      </c>
      <c r="BJ146" s="433">
        <f t="shared" si="7"/>
        <v>45</v>
      </c>
      <c r="BK146" s="433">
        <f t="shared" si="7"/>
        <v>4</v>
      </c>
      <c r="BL146" s="433">
        <f t="shared" si="7"/>
        <v>2</v>
      </c>
      <c r="BM146" s="433">
        <f t="shared" si="7"/>
        <v>1</v>
      </c>
      <c r="BN146" s="433">
        <f t="shared" si="7"/>
        <v>42</v>
      </c>
      <c r="BO146" s="433">
        <f t="shared" si="7"/>
        <v>117</v>
      </c>
      <c r="BP146" s="433">
        <f t="shared" si="7"/>
        <v>54</v>
      </c>
      <c r="BQ146" s="433">
        <f t="shared" si="7"/>
        <v>9</v>
      </c>
      <c r="BR146" s="433">
        <f t="shared" si="7"/>
        <v>18</v>
      </c>
      <c r="BS146" s="433">
        <f t="shared" si="7"/>
        <v>306</v>
      </c>
      <c r="BT146" s="433">
        <f t="shared" si="7"/>
        <v>102</v>
      </c>
      <c r="BU146" s="433">
        <f t="shared" si="7"/>
        <v>54</v>
      </c>
      <c r="BV146" s="433">
        <f t="shared" ref="BV146:CE146" si="8">SUM(BV5:BV145)</f>
        <v>3</v>
      </c>
      <c r="BW146" s="433">
        <f t="shared" si="8"/>
        <v>3</v>
      </c>
      <c r="BX146" s="433">
        <f t="shared" si="8"/>
        <v>12</v>
      </c>
      <c r="BY146" s="433">
        <f t="shared" si="8"/>
        <v>6</v>
      </c>
      <c r="BZ146" s="433">
        <f t="shared" si="8"/>
        <v>24</v>
      </c>
      <c r="CA146" s="433">
        <f t="shared" si="8"/>
        <v>8</v>
      </c>
      <c r="CB146" s="701">
        <f t="shared" si="8"/>
        <v>27</v>
      </c>
      <c r="CC146" s="701">
        <f t="shared" si="8"/>
        <v>6</v>
      </c>
      <c r="CD146" s="701">
        <f t="shared" si="8"/>
        <v>12</v>
      </c>
      <c r="CE146" s="701">
        <f t="shared" si="8"/>
        <v>6</v>
      </c>
      <c r="CF146" s="702"/>
    </row>
    <row r="149" spans="1:104">
      <c r="R149" s="724"/>
    </row>
    <row r="150" spans="1:104">
      <c r="R150" s="724"/>
      <c r="CI150" s="128" t="s">
        <v>572</v>
      </c>
    </row>
  </sheetData>
  <autoFilter ref="A4:CF146" xr:uid="{00000000-0009-0000-0000-000007000000}"/>
  <mergeCells count="10">
    <mergeCell ref="A2:CF2"/>
    <mergeCell ref="A1:CF1"/>
    <mergeCell ref="A146:B146"/>
    <mergeCell ref="A3:A4"/>
    <mergeCell ref="B3:B4"/>
    <mergeCell ref="CF3:CF4"/>
    <mergeCell ref="AW3:AX3"/>
    <mergeCell ref="C3:C4"/>
    <mergeCell ref="D3:AV3"/>
    <mergeCell ref="AY3:CE3"/>
  </mergeCells>
  <printOptions horizontalCentered="1"/>
  <pageMargins left="0.23" right="0.196850393700787" top="0.36" bottom="0.39" header="0.28000000000000003" footer="0.31496062992126"/>
  <pageSetup paperSize="9" scale="3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BK16"/>
  <sheetViews>
    <sheetView showZeros="0" zoomScaleNormal="100" zoomScaleSheetLayoutView="70" zoomScalePageLayoutView="40" workbookViewId="0">
      <pane ySplit="5" topLeftCell="A16" activePane="bottomLeft" state="frozen"/>
      <selection pane="bottomLeft" activeCell="B18" sqref="B18"/>
    </sheetView>
  </sheetViews>
  <sheetFormatPr defaultColWidth="12" defaultRowHeight="17.100000000000001" customHeight="1"/>
  <cols>
    <col min="1" max="1" width="5.33203125" style="111" customWidth="1"/>
    <col min="2" max="2" width="26.6640625" style="137" customWidth="1"/>
    <col min="3" max="3" width="33" style="137" customWidth="1"/>
    <col min="4" max="5" width="7.1640625" style="137" hidden="1" customWidth="1"/>
    <col min="6" max="7" width="7.1640625" style="36" hidden="1" customWidth="1"/>
    <col min="8" max="8" width="12.1640625" style="224" customWidth="1"/>
    <col min="9" max="9" width="30.6640625" style="36" customWidth="1"/>
    <col min="10" max="10" width="17.83203125" style="36" customWidth="1"/>
    <col min="11" max="12" width="24.33203125" style="36" customWidth="1"/>
    <col min="13" max="13" width="24.33203125" style="111" customWidth="1"/>
    <col min="14" max="26" width="12" style="36"/>
    <col min="27" max="16384" width="12" style="39"/>
  </cols>
  <sheetData>
    <row r="1" spans="1:63" s="120" customFormat="1" ht="13.5" customHeight="1">
      <c r="A1" s="117"/>
      <c r="B1" s="118"/>
      <c r="C1" s="118"/>
      <c r="D1" s="118"/>
      <c r="E1" s="118"/>
      <c r="F1" s="117"/>
      <c r="G1" s="117"/>
      <c r="H1" s="214"/>
      <c r="I1" s="117"/>
      <c r="J1" s="117"/>
      <c r="K1" s="117"/>
      <c r="L1" s="117"/>
      <c r="M1" s="117"/>
      <c r="N1" s="117"/>
      <c r="O1" s="117"/>
      <c r="P1" s="117"/>
      <c r="Q1" s="117"/>
      <c r="R1" s="117"/>
      <c r="S1" s="117"/>
      <c r="T1" s="117"/>
      <c r="U1" s="117"/>
      <c r="V1" s="117"/>
      <c r="W1" s="117"/>
      <c r="X1" s="117"/>
      <c r="Y1" s="117"/>
      <c r="Z1" s="117"/>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row>
    <row r="2" spans="1:63" s="120" customFormat="1" ht="24" customHeight="1">
      <c r="A2" s="1028" t="s">
        <v>263</v>
      </c>
      <c r="B2" s="1028"/>
      <c r="C2" s="1028"/>
      <c r="D2" s="1028"/>
      <c r="E2" s="1028"/>
      <c r="F2" s="1028"/>
      <c r="G2" s="1028"/>
      <c r="H2" s="1028"/>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21"/>
      <c r="AH2" s="121"/>
      <c r="AI2" s="121"/>
      <c r="AJ2" s="121"/>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row>
    <row r="3" spans="1:63" s="120" customFormat="1" ht="24" customHeight="1">
      <c r="A3" s="1029" t="s">
        <v>640</v>
      </c>
      <c r="B3" s="1029"/>
      <c r="C3" s="1029"/>
      <c r="D3" s="1029"/>
      <c r="E3" s="1029"/>
      <c r="F3" s="1029"/>
      <c r="G3" s="1029"/>
      <c r="H3" s="1029"/>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21"/>
      <c r="AH3" s="121"/>
      <c r="AI3" s="121"/>
      <c r="AJ3" s="121"/>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row>
    <row r="4" spans="1:63" s="141" customFormat="1" ht="24" customHeight="1" thickBot="1">
      <c r="A4" s="1027" t="s">
        <v>22</v>
      </c>
      <c r="B4" s="1026" t="s">
        <v>13</v>
      </c>
      <c r="C4" s="339" t="s">
        <v>282</v>
      </c>
      <c r="D4" s="1026"/>
      <c r="E4" s="1026"/>
      <c r="F4" s="1026"/>
      <c r="G4" s="1026"/>
      <c r="H4" s="339" t="s">
        <v>70</v>
      </c>
      <c r="I4" s="138"/>
      <c r="J4" s="138"/>
      <c r="K4" s="138"/>
      <c r="L4" s="138"/>
      <c r="M4" s="139"/>
      <c r="N4" s="138"/>
      <c r="O4" s="138"/>
      <c r="P4" s="138"/>
      <c r="Q4" s="138"/>
      <c r="R4" s="138"/>
      <c r="S4" s="138"/>
      <c r="T4" s="138"/>
      <c r="U4" s="138"/>
      <c r="V4" s="138"/>
      <c r="W4" s="138"/>
      <c r="X4" s="138"/>
      <c r="Y4" s="138"/>
      <c r="Z4" s="138"/>
      <c r="AA4" s="138"/>
      <c r="AB4" s="138"/>
      <c r="AC4" s="138"/>
      <c r="AD4" s="138"/>
      <c r="AE4" s="138"/>
      <c r="AF4" s="138"/>
      <c r="AG4" s="138"/>
      <c r="AH4" s="138"/>
      <c r="AI4" s="138"/>
      <c r="AJ4" s="138"/>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row>
    <row r="5" spans="1:63" s="141" customFormat="1" ht="190.9" customHeight="1" thickTop="1">
      <c r="A5" s="1027"/>
      <c r="B5" s="1026"/>
      <c r="C5" s="129" t="s">
        <v>575</v>
      </c>
      <c r="D5" s="129" t="s">
        <v>552</v>
      </c>
      <c r="E5" s="129" t="s">
        <v>553</v>
      </c>
      <c r="F5" s="129" t="s">
        <v>573</v>
      </c>
      <c r="G5" s="129" t="s">
        <v>554</v>
      </c>
      <c r="H5" s="340"/>
      <c r="I5" s="139"/>
      <c r="J5" s="139"/>
      <c r="K5" s="139"/>
      <c r="L5" s="139"/>
      <c r="M5" s="142"/>
      <c r="N5" s="139"/>
      <c r="O5" s="139"/>
      <c r="P5" s="139"/>
      <c r="Q5" s="139"/>
      <c r="R5" s="139"/>
      <c r="S5" s="139"/>
      <c r="T5" s="139"/>
      <c r="U5" s="139"/>
      <c r="V5" s="139"/>
      <c r="W5" s="139"/>
      <c r="X5" s="139"/>
      <c r="Y5" s="139"/>
      <c r="Z5" s="139"/>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row>
    <row r="6" spans="1:63" s="146" customFormat="1" ht="19.149999999999999" hidden="1" customHeight="1">
      <c r="A6" s="130">
        <v>1</v>
      </c>
      <c r="B6" s="206" t="s">
        <v>280</v>
      </c>
      <c r="C6" s="130"/>
      <c r="D6" s="341">
        <v>6</v>
      </c>
      <c r="E6" s="341">
        <v>15</v>
      </c>
      <c r="F6" s="341">
        <v>2</v>
      </c>
      <c r="G6" s="341">
        <v>2</v>
      </c>
      <c r="H6" s="215"/>
      <c r="I6" s="143"/>
      <c r="J6" s="143" t="s">
        <v>249</v>
      </c>
      <c r="K6" s="143" t="s">
        <v>22</v>
      </c>
      <c r="L6" s="143" t="s">
        <v>250</v>
      </c>
      <c r="M6" s="144"/>
      <c r="N6" s="143"/>
      <c r="O6" s="143"/>
      <c r="P6" s="143"/>
      <c r="Q6" s="143"/>
      <c r="R6" s="143"/>
      <c r="S6" s="143"/>
      <c r="T6" s="143"/>
      <c r="U6" s="143"/>
      <c r="V6" s="143"/>
      <c r="W6" s="143"/>
      <c r="X6" s="143"/>
      <c r="Y6" s="143"/>
      <c r="Z6" s="143"/>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row>
    <row r="7" spans="1:63" s="145" customFormat="1" ht="19.149999999999999" hidden="1" customHeight="1">
      <c r="A7" s="130">
        <v>2</v>
      </c>
      <c r="B7" s="154" t="s">
        <v>279</v>
      </c>
      <c r="C7" s="131"/>
      <c r="D7" s="341">
        <v>6</v>
      </c>
      <c r="E7" s="341">
        <v>15</v>
      </c>
      <c r="F7" s="341">
        <v>2</v>
      </c>
      <c r="G7" s="341">
        <v>2</v>
      </c>
      <c r="H7" s="217"/>
      <c r="I7" s="143"/>
      <c r="J7" s="149" t="s">
        <v>251</v>
      </c>
      <c r="K7" s="149">
        <v>89</v>
      </c>
      <c r="L7" s="149">
        <v>32</v>
      </c>
      <c r="M7" s="143" t="s">
        <v>257</v>
      </c>
      <c r="N7" s="143"/>
      <c r="O7" s="143"/>
      <c r="P7" s="143"/>
      <c r="Q7" s="143"/>
      <c r="R7" s="143"/>
      <c r="S7" s="143"/>
      <c r="T7" s="143"/>
      <c r="U7" s="143"/>
      <c r="V7" s="143"/>
      <c r="W7" s="143"/>
      <c r="X7" s="143"/>
      <c r="Y7" s="143"/>
      <c r="Z7" s="143"/>
    </row>
    <row r="8" spans="1:63" s="145" customFormat="1" ht="19.149999999999999" hidden="1" customHeight="1">
      <c r="A8" s="130">
        <v>3</v>
      </c>
      <c r="B8" s="154" t="s">
        <v>536</v>
      </c>
      <c r="C8" s="131"/>
      <c r="D8" s="341">
        <v>6</v>
      </c>
      <c r="E8" s="341">
        <v>15</v>
      </c>
      <c r="F8" s="341">
        <v>2</v>
      </c>
      <c r="G8" s="341">
        <v>2</v>
      </c>
      <c r="H8" s="217"/>
      <c r="I8" s="143"/>
      <c r="J8" s="149"/>
      <c r="K8" s="149"/>
      <c r="L8" s="149"/>
      <c r="M8" s="143"/>
      <c r="N8" s="143"/>
      <c r="O8" s="143"/>
      <c r="P8" s="143"/>
      <c r="Q8" s="143"/>
      <c r="R8" s="143"/>
      <c r="S8" s="143"/>
      <c r="T8" s="143"/>
      <c r="U8" s="143"/>
      <c r="V8" s="143"/>
      <c r="W8" s="143"/>
      <c r="X8" s="143"/>
      <c r="Y8" s="143"/>
      <c r="Z8" s="143"/>
    </row>
    <row r="9" spans="1:63" s="141" customFormat="1" ht="19.149999999999999" hidden="1" customHeight="1">
      <c r="A9" s="147">
        <v>4</v>
      </c>
      <c r="B9" s="206" t="s">
        <v>537</v>
      </c>
      <c r="C9" s="130"/>
      <c r="D9" s="341">
        <v>6</v>
      </c>
      <c r="E9" s="341">
        <v>15</v>
      </c>
      <c r="F9" s="341">
        <v>2</v>
      </c>
      <c r="G9" s="341">
        <v>2</v>
      </c>
      <c r="H9" s="218"/>
      <c r="I9" s="219"/>
      <c r="J9" s="220"/>
      <c r="K9" s="221"/>
      <c r="L9" s="221"/>
      <c r="M9" s="139"/>
      <c r="N9" s="219"/>
      <c r="O9" s="219"/>
      <c r="P9" s="150"/>
      <c r="Q9" s="219"/>
      <c r="R9" s="219"/>
      <c r="S9" s="219"/>
      <c r="T9" s="219"/>
      <c r="U9" s="219"/>
      <c r="V9" s="219"/>
      <c r="W9" s="219"/>
      <c r="X9" s="219"/>
      <c r="Y9" s="219"/>
      <c r="Z9" s="219"/>
      <c r="AA9" s="219"/>
      <c r="AB9" s="219"/>
      <c r="AC9" s="219"/>
      <c r="AD9" s="219"/>
      <c r="AE9" s="219"/>
      <c r="AF9" s="219"/>
      <c r="AG9" s="219"/>
      <c r="AH9" s="219"/>
    </row>
    <row r="10" spans="1:63" s="141" customFormat="1" ht="19.149999999999999" hidden="1" customHeight="1">
      <c r="A10" s="130">
        <v>5</v>
      </c>
      <c r="B10" s="206" t="s">
        <v>538</v>
      </c>
      <c r="C10" s="130"/>
      <c r="D10" s="341">
        <v>6</v>
      </c>
      <c r="E10" s="341">
        <v>15</v>
      </c>
      <c r="F10" s="341">
        <v>2</v>
      </c>
      <c r="G10" s="341">
        <v>2</v>
      </c>
      <c r="H10" s="222"/>
      <c r="I10" s="220"/>
      <c r="J10" s="220"/>
      <c r="K10" s="221"/>
      <c r="L10" s="221"/>
      <c r="M10" s="139"/>
      <c r="N10" s="220"/>
      <c r="O10" s="220"/>
      <c r="P10" s="219"/>
      <c r="Q10" s="219"/>
      <c r="R10" s="145"/>
      <c r="S10" s="221"/>
      <c r="T10" s="221"/>
      <c r="U10" s="220"/>
      <c r="V10" s="223"/>
      <c r="W10" s="223"/>
      <c r="X10" s="219"/>
      <c r="Y10" s="220"/>
      <c r="Z10" s="221"/>
      <c r="AA10" s="221"/>
      <c r="AB10" s="223"/>
      <c r="AC10" s="220"/>
      <c r="AD10" s="220"/>
      <c r="AE10" s="145"/>
      <c r="AF10" s="219"/>
      <c r="AG10" s="219"/>
      <c r="AH10" s="219"/>
    </row>
    <row r="11" spans="1:63" s="141" customFormat="1" ht="19.149999999999999" hidden="1" customHeight="1">
      <c r="A11" s="147">
        <v>6</v>
      </c>
      <c r="B11" s="206" t="s">
        <v>539</v>
      </c>
      <c r="C11" s="130"/>
      <c r="D11" s="341">
        <v>6</v>
      </c>
      <c r="E11" s="341">
        <v>15</v>
      </c>
      <c r="F11" s="341">
        <v>2</v>
      </c>
      <c r="G11" s="341">
        <v>2</v>
      </c>
      <c r="H11" s="222"/>
      <c r="I11" s="220"/>
      <c r="J11" s="219"/>
      <c r="K11" s="219"/>
      <c r="L11" s="219"/>
      <c r="M11" s="139"/>
      <c r="N11" s="220"/>
      <c r="O11" s="220"/>
      <c r="P11" s="220"/>
      <c r="Q11" s="220"/>
      <c r="R11" s="145"/>
      <c r="S11" s="221"/>
      <c r="T11" s="221"/>
      <c r="U11" s="220"/>
      <c r="V11" s="221"/>
      <c r="W11" s="221"/>
      <c r="X11" s="220"/>
      <c r="Y11" s="220"/>
      <c r="Z11" s="221"/>
      <c r="AA11" s="221"/>
      <c r="AB11" s="221"/>
      <c r="AC11" s="220"/>
      <c r="AD11" s="220"/>
      <c r="AE11" s="145"/>
      <c r="AF11" s="220"/>
      <c r="AG11" s="220"/>
      <c r="AH11" s="220"/>
    </row>
    <row r="12" spans="1:63" s="141" customFormat="1" ht="19.149999999999999" hidden="1" customHeight="1">
      <c r="A12" s="130">
        <v>7</v>
      </c>
      <c r="B12" s="206" t="s">
        <v>281</v>
      </c>
      <c r="C12" s="130"/>
      <c r="D12" s="341">
        <v>6</v>
      </c>
      <c r="E12" s="341">
        <v>15</v>
      </c>
      <c r="F12" s="341">
        <v>2</v>
      </c>
      <c r="G12" s="341">
        <v>2</v>
      </c>
      <c r="H12" s="222"/>
      <c r="I12" s="220"/>
      <c r="J12" s="150"/>
      <c r="K12" s="150"/>
      <c r="L12" s="150"/>
      <c r="M12" s="139"/>
      <c r="N12" s="220"/>
      <c r="O12" s="220"/>
      <c r="P12" s="220"/>
      <c r="Q12" s="220"/>
      <c r="R12" s="145"/>
      <c r="S12" s="221"/>
      <c r="T12" s="221"/>
      <c r="U12" s="220"/>
      <c r="V12" s="221"/>
      <c r="W12" s="221"/>
      <c r="X12" s="220"/>
      <c r="Y12" s="220"/>
      <c r="Z12" s="221"/>
      <c r="AA12" s="221"/>
      <c r="AB12" s="221"/>
      <c r="AC12" s="220"/>
      <c r="AD12" s="220"/>
      <c r="AE12" s="145"/>
      <c r="AF12" s="220"/>
      <c r="AG12" s="220"/>
      <c r="AH12" s="220"/>
    </row>
    <row r="13" spans="1:63" s="141" customFormat="1" ht="19.149999999999999" hidden="1" customHeight="1">
      <c r="A13" s="147">
        <v>8</v>
      </c>
      <c r="B13" s="206" t="s">
        <v>540</v>
      </c>
      <c r="C13" s="130"/>
      <c r="D13" s="341">
        <v>6</v>
      </c>
      <c r="E13" s="341">
        <v>15</v>
      </c>
      <c r="F13" s="341">
        <v>2</v>
      </c>
      <c r="G13" s="341">
        <v>2</v>
      </c>
      <c r="H13" s="218"/>
      <c r="I13" s="219"/>
      <c r="J13" s="150"/>
      <c r="K13" s="150"/>
      <c r="L13" s="150"/>
      <c r="M13" s="139"/>
      <c r="N13" s="219"/>
      <c r="O13" s="219"/>
      <c r="P13" s="219"/>
      <c r="Q13" s="150"/>
      <c r="R13" s="219"/>
      <c r="S13" s="219"/>
      <c r="T13" s="219"/>
      <c r="U13" s="219"/>
      <c r="V13" s="219"/>
      <c r="W13" s="219"/>
      <c r="X13" s="219"/>
      <c r="Y13" s="219"/>
      <c r="Z13" s="219"/>
      <c r="AA13" s="219"/>
      <c r="AB13" s="219"/>
      <c r="AC13" s="219"/>
      <c r="AD13" s="219"/>
      <c r="AE13" s="219"/>
      <c r="AF13" s="219"/>
      <c r="AG13" s="219"/>
      <c r="AH13" s="219"/>
    </row>
    <row r="14" spans="1:63" s="141" customFormat="1" ht="19.149999999999999" hidden="1" customHeight="1">
      <c r="A14" s="130">
        <v>9</v>
      </c>
      <c r="B14" s="207" t="s">
        <v>541</v>
      </c>
      <c r="C14" s="131"/>
      <c r="D14" s="341">
        <v>6</v>
      </c>
      <c r="E14" s="341">
        <v>15</v>
      </c>
      <c r="F14" s="341">
        <v>2</v>
      </c>
      <c r="G14" s="341">
        <v>2</v>
      </c>
      <c r="H14" s="131"/>
      <c r="I14" s="150"/>
      <c r="J14" s="150"/>
      <c r="K14" s="150"/>
      <c r="L14" s="150"/>
      <c r="M14" s="139"/>
      <c r="N14" s="150"/>
      <c r="O14" s="150"/>
      <c r="P14" s="150"/>
      <c r="Q14" s="150"/>
      <c r="R14" s="150"/>
      <c r="S14" s="150"/>
      <c r="T14" s="150"/>
      <c r="U14" s="150"/>
      <c r="V14" s="150"/>
      <c r="W14" s="150"/>
      <c r="X14" s="150"/>
      <c r="Y14" s="150"/>
      <c r="Z14" s="150"/>
      <c r="AA14" s="150"/>
      <c r="AB14" s="150"/>
      <c r="AC14" s="150"/>
      <c r="AD14" s="150"/>
      <c r="AE14" s="150"/>
      <c r="AF14" s="150"/>
      <c r="AG14" s="150"/>
      <c r="AH14" s="150"/>
    </row>
    <row r="15" spans="1:63" s="141" customFormat="1" ht="19.149999999999999" hidden="1" customHeight="1">
      <c r="A15" s="147">
        <v>10</v>
      </c>
      <c r="B15" s="207" t="s">
        <v>542</v>
      </c>
      <c r="C15" s="131"/>
      <c r="D15" s="341">
        <v>6</v>
      </c>
      <c r="E15" s="341">
        <v>15</v>
      </c>
      <c r="F15" s="341">
        <v>2</v>
      </c>
      <c r="G15" s="341">
        <v>2</v>
      </c>
      <c r="H15" s="131"/>
      <c r="I15" s="150"/>
      <c r="J15" s="150"/>
      <c r="K15" s="150"/>
      <c r="L15" s="150"/>
      <c r="M15" s="139"/>
      <c r="N15" s="150"/>
      <c r="O15" s="150"/>
      <c r="P15" s="150"/>
      <c r="Q15" s="150"/>
      <c r="R15" s="150"/>
      <c r="S15" s="150"/>
      <c r="T15" s="150"/>
      <c r="U15" s="150"/>
      <c r="V15" s="150"/>
      <c r="W15" s="150"/>
      <c r="X15" s="150"/>
      <c r="Y15" s="150"/>
      <c r="Z15" s="150"/>
      <c r="AA15" s="150"/>
      <c r="AB15" s="150"/>
      <c r="AC15" s="150"/>
      <c r="AD15" s="150"/>
      <c r="AE15" s="150"/>
      <c r="AF15" s="150"/>
      <c r="AG15" s="150"/>
      <c r="AH15" s="150"/>
    </row>
    <row r="16" spans="1:63" s="153" customFormat="1" ht="19.149999999999999" customHeight="1">
      <c r="A16" s="148"/>
      <c r="B16" s="342" t="s">
        <v>226</v>
      </c>
      <c r="C16" s="216">
        <f t="shared" ref="C16:G16" si="0">SUM(C6:C15)</f>
        <v>0</v>
      </c>
      <c r="D16" s="216">
        <f t="shared" si="0"/>
        <v>60</v>
      </c>
      <c r="E16" s="216">
        <f t="shared" si="0"/>
        <v>150</v>
      </c>
      <c r="F16" s="216">
        <f t="shared" si="0"/>
        <v>20</v>
      </c>
      <c r="G16" s="216">
        <f t="shared" si="0"/>
        <v>20</v>
      </c>
      <c r="H16" s="216"/>
      <c r="I16" s="151"/>
      <c r="J16" s="151"/>
      <c r="K16" s="151"/>
      <c r="L16" s="151"/>
      <c r="M16" s="152"/>
      <c r="N16" s="151"/>
      <c r="O16" s="151"/>
      <c r="P16" s="151"/>
      <c r="Q16" s="151"/>
      <c r="R16" s="151"/>
      <c r="S16" s="151"/>
      <c r="T16" s="151"/>
      <c r="U16" s="151"/>
      <c r="V16" s="151"/>
      <c r="W16" s="151"/>
      <c r="X16" s="151"/>
      <c r="Y16" s="151"/>
      <c r="Z16" s="151"/>
    </row>
  </sheetData>
  <sortState xmlns:xlrd2="http://schemas.microsoft.com/office/spreadsheetml/2017/richdata2" ref="B8:AI10">
    <sortCondition ref="J8:J10"/>
    <sortCondition ref="K8:K10"/>
  </sortState>
  <mergeCells count="5">
    <mergeCell ref="B4:B5"/>
    <mergeCell ref="A4:A5"/>
    <mergeCell ref="A2:H2"/>
    <mergeCell ref="D4:G4"/>
    <mergeCell ref="A3:H3"/>
  </mergeCells>
  <printOptions horizontalCentered="1"/>
  <pageMargins left="0.48" right="7.8740157480315001E-2" top="0.31496062992126" bottom="0.39370078740157499" header="0.118110236220472" footer="0.31496062992126"/>
  <pageSetup paperSize="9" scale="95" orientation="portrait" horizontalDpi="300" verticalDpi="300" r:id="rId1"/>
  <headerFooter alignWithMargins="0">
    <oddFooter>&amp;C&amp;14&amp;P</oddFooter>
  </headerFooter>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4"/>
  </sheetPr>
  <dimension ref="A1:FP461"/>
  <sheetViews>
    <sheetView topLeftCell="A2" workbookViewId="0"/>
  </sheetViews>
  <sheetFormatPr defaultColWidth="12" defaultRowHeight="17.100000000000001" customHeight="1"/>
  <cols>
    <col min="1" max="1" width="6.33203125" style="33" customWidth="1"/>
    <col min="2" max="2" width="18.6640625" style="47" customWidth="1"/>
    <col min="3" max="9" width="3.33203125" style="36" customWidth="1"/>
    <col min="10" max="10" width="6" style="36" customWidth="1"/>
    <col min="11" max="18" width="3.33203125" style="36" customWidth="1"/>
    <col min="19" max="19" width="4.83203125" style="36" customWidth="1"/>
    <col min="20" max="20" width="4.33203125" style="36" customWidth="1"/>
    <col min="21" max="21" width="5.83203125" style="36" customWidth="1"/>
    <col min="22" max="23" width="5.33203125" style="36" customWidth="1"/>
    <col min="24" max="24" width="6.6640625" style="36" hidden="1" customWidth="1"/>
    <col min="25" max="28" width="6.33203125" style="36" customWidth="1"/>
    <col min="29" max="38" width="3.33203125" style="36" customWidth="1"/>
    <col min="39" max="39" width="4.5" style="36" customWidth="1"/>
    <col min="40" max="41" width="3.33203125" style="36" customWidth="1"/>
    <col min="42" max="54" width="3.83203125" style="36" customWidth="1"/>
    <col min="55" max="64" width="3.33203125" style="36" customWidth="1"/>
    <col min="65" max="65" width="3.83203125" style="36" customWidth="1"/>
    <col min="66" max="66" width="5.1640625" style="36" hidden="1" customWidth="1"/>
    <col min="67" max="100" width="5.83203125" style="36" customWidth="1"/>
    <col min="101" max="101" width="32.83203125" style="36" customWidth="1"/>
    <col min="102" max="118" width="12" style="36"/>
    <col min="119" max="16384" width="12" style="39"/>
  </cols>
  <sheetData>
    <row r="1" spans="1:172" ht="13.5" hidden="1" customHeight="1">
      <c r="B1" s="37"/>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row>
    <row r="2" spans="1:172" ht="24.75" customHeight="1">
      <c r="B2" s="1030" t="s">
        <v>19</v>
      </c>
      <c r="C2" s="1030"/>
      <c r="D2" s="1030"/>
      <c r="E2" s="1030"/>
      <c r="F2" s="1030"/>
      <c r="G2" s="1030"/>
      <c r="H2" s="1030"/>
      <c r="I2" s="1030"/>
      <c r="J2" s="1030"/>
      <c r="K2" s="1030"/>
      <c r="L2" s="1030"/>
      <c r="M2" s="1030"/>
      <c r="N2" s="1030"/>
      <c r="O2" s="1030"/>
      <c r="P2" s="1030"/>
      <c r="Q2" s="1030"/>
      <c r="R2" s="1030"/>
      <c r="S2" s="1030"/>
      <c r="T2" s="1030"/>
      <c r="U2" s="1030"/>
      <c r="V2" s="1030"/>
      <c r="W2" s="1030"/>
      <c r="X2" s="1030"/>
      <c r="Y2" s="1030"/>
      <c r="Z2" s="1030"/>
      <c r="AA2" s="1030"/>
      <c r="AB2" s="1030"/>
      <c r="AC2" s="1030"/>
      <c r="AD2" s="1030"/>
      <c r="AE2" s="1030"/>
      <c r="AF2" s="1030"/>
      <c r="AG2" s="1030"/>
      <c r="AH2" s="1030"/>
      <c r="AI2" s="1030"/>
      <c r="AJ2" s="1030"/>
      <c r="AK2" s="1030"/>
      <c r="AL2" s="1030"/>
      <c r="AM2" s="1030"/>
      <c r="AN2" s="1030"/>
      <c r="AO2" s="1030"/>
      <c r="AP2" s="1030"/>
      <c r="AQ2" s="1030"/>
      <c r="AR2" s="1030"/>
      <c r="AS2" s="1030"/>
      <c r="AT2" s="1030"/>
      <c r="AU2" s="1030"/>
      <c r="AV2" s="1030"/>
      <c r="AW2" s="1030"/>
      <c r="AX2" s="1030"/>
      <c r="AY2" s="1030"/>
      <c r="AZ2" s="1030"/>
      <c r="BA2" s="1030"/>
      <c r="BB2" s="1030"/>
      <c r="BC2" s="1030"/>
      <c r="BD2" s="1030"/>
      <c r="BE2" s="1030"/>
      <c r="BF2" s="1030"/>
      <c r="BG2" s="1030"/>
      <c r="BH2" s="1030"/>
      <c r="BI2" s="1030"/>
      <c r="BJ2" s="1030"/>
      <c r="BK2" s="1030"/>
      <c r="BL2" s="1030"/>
      <c r="BM2" s="1030"/>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33"/>
      <c r="CX2" s="33"/>
      <c r="CY2" s="33"/>
      <c r="CZ2" s="33"/>
      <c r="DA2" s="33"/>
      <c r="DB2" s="33"/>
      <c r="DC2" s="33"/>
      <c r="DD2" s="33"/>
      <c r="DE2" s="33"/>
      <c r="DF2" s="33"/>
      <c r="DG2" s="33"/>
      <c r="DH2" s="33"/>
      <c r="DI2" s="33"/>
      <c r="DJ2" s="33"/>
      <c r="DK2" s="33"/>
      <c r="DL2" s="33"/>
      <c r="DM2" s="33"/>
      <c r="DN2" s="33"/>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c r="FH2" s="38"/>
      <c r="FI2" s="38"/>
      <c r="FJ2" s="38"/>
      <c r="FK2" s="38"/>
      <c r="FL2" s="38"/>
      <c r="FM2" s="38"/>
      <c r="FN2" s="38"/>
      <c r="FO2" s="38"/>
      <c r="FP2" s="38"/>
    </row>
    <row r="3" spans="1:172" ht="29.25" customHeight="1">
      <c r="B3" s="1030" t="s">
        <v>101</v>
      </c>
      <c r="C3" s="1030"/>
      <c r="D3" s="1030"/>
      <c r="E3" s="1030"/>
      <c r="F3" s="1030"/>
      <c r="G3" s="1030"/>
      <c r="H3" s="1030"/>
      <c r="I3" s="1030"/>
      <c r="J3" s="1030"/>
      <c r="K3" s="1030"/>
      <c r="L3" s="1030"/>
      <c r="M3" s="1030"/>
      <c r="N3" s="1030"/>
      <c r="O3" s="1030"/>
      <c r="P3" s="1030"/>
      <c r="Q3" s="1030"/>
      <c r="R3" s="1030"/>
      <c r="S3" s="1030"/>
      <c r="T3" s="1030"/>
      <c r="U3" s="1030"/>
      <c r="V3" s="1030"/>
      <c r="W3" s="1030"/>
      <c r="X3" s="1030"/>
      <c r="Y3" s="1030"/>
      <c r="Z3" s="1030"/>
      <c r="AA3" s="1030"/>
      <c r="AB3" s="1030"/>
      <c r="AC3" s="1030"/>
      <c r="AD3" s="1030"/>
      <c r="AE3" s="1030"/>
      <c r="AF3" s="1030"/>
      <c r="AG3" s="1030"/>
      <c r="AH3" s="1030"/>
      <c r="AI3" s="1030"/>
      <c r="AJ3" s="1030"/>
      <c r="AK3" s="1030"/>
      <c r="AL3" s="1030"/>
      <c r="AM3" s="1030"/>
      <c r="AN3" s="1030"/>
      <c r="AO3" s="1030"/>
      <c r="AP3" s="1030"/>
      <c r="AQ3" s="1030"/>
      <c r="AR3" s="1030"/>
      <c r="AS3" s="1030"/>
      <c r="AT3" s="1030"/>
      <c r="AU3" s="1030"/>
      <c r="AV3" s="1030"/>
      <c r="AW3" s="1030"/>
      <c r="AX3" s="1030"/>
      <c r="AY3" s="1030"/>
      <c r="AZ3" s="1030"/>
      <c r="BA3" s="1030"/>
      <c r="BB3" s="1030"/>
      <c r="BC3" s="1030"/>
      <c r="BD3" s="1030"/>
      <c r="BE3" s="1030"/>
      <c r="BF3" s="1030"/>
      <c r="BG3" s="1030"/>
      <c r="BH3" s="1030"/>
      <c r="BI3" s="1030"/>
      <c r="BJ3" s="1030"/>
      <c r="BK3" s="1030"/>
      <c r="BL3" s="1030"/>
      <c r="BM3" s="1030"/>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33"/>
      <c r="CX3" s="33"/>
      <c r="CY3" s="33"/>
      <c r="CZ3" s="33"/>
      <c r="DA3" s="33"/>
      <c r="DB3" s="33"/>
      <c r="DC3" s="33"/>
      <c r="DD3" s="33"/>
      <c r="DE3" s="33"/>
      <c r="DF3" s="33"/>
      <c r="DG3" s="33"/>
      <c r="DH3" s="33"/>
      <c r="DI3" s="33"/>
      <c r="DJ3" s="33"/>
      <c r="DK3" s="33"/>
      <c r="DL3" s="33"/>
      <c r="DM3" s="33"/>
      <c r="DN3" s="33"/>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row>
    <row r="4" spans="1:172" ht="29.25" hidden="1" customHeight="1">
      <c r="B4" s="1030"/>
      <c r="C4" s="1030"/>
      <c r="D4" s="1030"/>
      <c r="E4" s="1030"/>
      <c r="F4" s="1030"/>
      <c r="G4" s="1030"/>
      <c r="H4" s="1030"/>
      <c r="I4" s="1030"/>
      <c r="J4" s="1030"/>
      <c r="K4" s="1030"/>
      <c r="L4" s="1030"/>
      <c r="M4" s="1030"/>
      <c r="N4" s="1030"/>
      <c r="O4" s="1030"/>
      <c r="P4" s="1030"/>
      <c r="Q4" s="1030"/>
      <c r="R4" s="1030"/>
      <c r="S4" s="1030"/>
      <c r="T4" s="1030"/>
      <c r="U4" s="1030"/>
      <c r="V4" s="1030"/>
      <c r="W4" s="1030"/>
      <c r="X4" s="1030"/>
      <c r="Y4" s="1030"/>
      <c r="Z4" s="1030"/>
      <c r="AA4" s="1030"/>
      <c r="AB4" s="1030"/>
      <c r="AC4" s="1030"/>
      <c r="AD4" s="1030"/>
      <c r="AE4" s="1030"/>
      <c r="AF4" s="1030"/>
      <c r="AG4" s="1030"/>
      <c r="AH4" s="1030"/>
      <c r="AI4" s="1030"/>
      <c r="AJ4" s="1030"/>
      <c r="AK4" s="1030"/>
      <c r="AL4" s="1030"/>
      <c r="AM4" s="1030"/>
      <c r="AN4" s="1030"/>
      <c r="AO4" s="1030"/>
      <c r="AP4" s="1030"/>
      <c r="AQ4" s="1030"/>
      <c r="AR4" s="1030"/>
      <c r="AS4" s="1030"/>
      <c r="AT4" s="1030"/>
      <c r="AU4" s="1030"/>
      <c r="AV4" s="1030"/>
      <c r="AW4" s="1030"/>
      <c r="AX4" s="1030"/>
      <c r="AY4" s="1030"/>
      <c r="AZ4" s="1030"/>
      <c r="BA4" s="1030"/>
      <c r="BB4" s="1030"/>
      <c r="BC4" s="1030"/>
      <c r="BD4" s="1030"/>
      <c r="BE4" s="1030"/>
      <c r="BF4" s="1030"/>
      <c r="BG4" s="1030"/>
      <c r="BH4" s="1030"/>
      <c r="BI4" s="1030"/>
      <c r="BJ4" s="1030"/>
      <c r="BK4" s="1030"/>
      <c r="BL4" s="1030"/>
      <c r="BM4" s="1030"/>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33"/>
      <c r="CX4" s="33"/>
      <c r="CY4" s="33"/>
      <c r="CZ4" s="33"/>
      <c r="DA4" s="33"/>
      <c r="DB4" s="33"/>
      <c r="DC4" s="33"/>
      <c r="DD4" s="33"/>
      <c r="DE4" s="33"/>
      <c r="DF4" s="33"/>
      <c r="DG4" s="33"/>
      <c r="DH4" s="33"/>
      <c r="DI4" s="33"/>
      <c r="DJ4" s="33"/>
      <c r="DK4" s="33"/>
      <c r="DL4" s="33"/>
      <c r="DM4" s="33"/>
      <c r="DN4" s="33"/>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row>
    <row r="5" spans="1:172" ht="15" customHeight="1" thickBot="1">
      <c r="B5" s="1039"/>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D5" s="1039"/>
      <c r="AE5" s="1039"/>
      <c r="AF5" s="1039"/>
      <c r="AG5" s="1039"/>
      <c r="AH5" s="1039"/>
      <c r="AI5" s="1039"/>
      <c r="AJ5" s="1039"/>
      <c r="AK5" s="1039"/>
      <c r="AL5" s="1039"/>
      <c r="AM5" s="1039"/>
      <c r="AN5" s="1039"/>
      <c r="AO5" s="1039"/>
      <c r="AP5" s="1039"/>
      <c r="AQ5" s="1039"/>
      <c r="AR5" s="1039"/>
      <c r="AS5" s="1039"/>
      <c r="AT5" s="1039"/>
      <c r="AU5" s="1039"/>
      <c r="AV5" s="1039"/>
      <c r="AW5" s="1039"/>
      <c r="AX5" s="1039"/>
      <c r="AY5" s="1039"/>
      <c r="AZ5" s="1039"/>
      <c r="BA5" s="1039"/>
      <c r="BB5" s="1039"/>
      <c r="BC5" s="1039"/>
      <c r="BD5" s="1039"/>
      <c r="BE5" s="1039"/>
      <c r="BF5" s="1039"/>
      <c r="BG5" s="1039"/>
      <c r="BH5" s="1039"/>
      <c r="BI5" s="1039"/>
      <c r="BJ5" s="1039"/>
      <c r="BK5" s="1039"/>
      <c r="BL5" s="1039"/>
      <c r="BM5" s="1039"/>
      <c r="BN5" s="1039"/>
      <c r="BO5" s="1039"/>
      <c r="BP5" s="1039"/>
      <c r="BQ5" s="1039"/>
      <c r="BR5" s="1039"/>
      <c r="BS5" s="1039"/>
      <c r="BT5" s="1039"/>
      <c r="BU5" s="1039"/>
      <c r="BV5" s="1039"/>
      <c r="BW5" s="1039"/>
      <c r="BX5" s="1039"/>
      <c r="BY5" s="1039"/>
      <c r="BZ5" s="1039"/>
      <c r="CA5" s="1039"/>
      <c r="CB5" s="1039"/>
      <c r="CC5" s="1039"/>
      <c r="CD5" s="1039"/>
      <c r="CE5" s="1039"/>
      <c r="CF5" s="1039"/>
      <c r="CG5" s="1039"/>
      <c r="CH5" s="1039"/>
      <c r="CI5" s="1039"/>
      <c r="CJ5" s="1039"/>
      <c r="CK5" s="1039"/>
      <c r="CL5" s="1039"/>
      <c r="CM5" s="1039"/>
      <c r="CN5" s="1039"/>
      <c r="CO5" s="1039"/>
      <c r="CP5" s="1039"/>
      <c r="CQ5" s="1039"/>
      <c r="CR5" s="1039"/>
      <c r="CS5" s="1039"/>
      <c r="CT5" s="1039"/>
      <c r="CU5" s="1039"/>
      <c r="CV5" s="1039"/>
      <c r="CW5" s="33"/>
      <c r="CX5" s="33"/>
      <c r="CY5" s="33"/>
      <c r="CZ5" s="33"/>
      <c r="DA5" s="33"/>
      <c r="DB5" s="33"/>
      <c r="DC5" s="33"/>
      <c r="DD5" s="33"/>
      <c r="DE5" s="33"/>
      <c r="DF5" s="33"/>
      <c r="DG5" s="33"/>
      <c r="DH5" s="33"/>
      <c r="DI5" s="33"/>
      <c r="DJ5" s="33"/>
      <c r="DK5" s="33"/>
      <c r="DL5" s="33"/>
      <c r="DM5" s="33"/>
      <c r="DN5" s="33"/>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row>
    <row r="6" spans="1:172" ht="29.25" customHeight="1" thickTop="1">
      <c r="A6" s="1035" t="s">
        <v>22</v>
      </c>
      <c r="B6" s="1037" t="s">
        <v>13</v>
      </c>
      <c r="C6" s="1041" t="s">
        <v>112</v>
      </c>
      <c r="D6" s="1041"/>
      <c r="E6" s="1041"/>
      <c r="F6" s="1041"/>
      <c r="G6" s="1041"/>
      <c r="H6" s="1041"/>
      <c r="I6" s="1041"/>
      <c r="J6" s="1041"/>
      <c r="K6" s="1041"/>
      <c r="L6" s="1041"/>
      <c r="M6" s="1041"/>
      <c r="N6" s="1041"/>
      <c r="O6" s="1041"/>
      <c r="P6" s="1041"/>
      <c r="Q6" s="1041"/>
      <c r="R6" s="1041"/>
      <c r="S6" s="1041"/>
      <c r="T6" s="1041"/>
      <c r="U6" s="1041"/>
      <c r="V6" s="1041"/>
      <c r="W6" s="1041"/>
      <c r="X6" s="1041"/>
      <c r="Y6" s="1041"/>
      <c r="Z6" s="1041"/>
      <c r="AA6" s="1041"/>
      <c r="AB6" s="1041"/>
      <c r="AC6" s="1041"/>
      <c r="AD6" s="1041"/>
      <c r="AE6" s="1041"/>
      <c r="AF6" s="1041"/>
      <c r="AG6" s="1041"/>
      <c r="AH6" s="1041"/>
      <c r="AI6" s="1041"/>
      <c r="AJ6" s="1041"/>
      <c r="AK6" s="1041"/>
      <c r="AL6" s="1041"/>
      <c r="AM6" s="1041"/>
      <c r="AN6" s="1041"/>
      <c r="AO6" s="1041"/>
      <c r="AP6" s="1041"/>
      <c r="AQ6" s="1041"/>
      <c r="AR6" s="1041"/>
      <c r="AS6" s="1041"/>
      <c r="AT6" s="1041"/>
      <c r="AU6" s="1041"/>
      <c r="AV6" s="1041"/>
      <c r="AW6" s="1041"/>
      <c r="AX6" s="1041"/>
      <c r="AY6" s="1041"/>
      <c r="AZ6" s="1041"/>
      <c r="BA6" s="1041"/>
      <c r="BB6" s="1041"/>
      <c r="BC6" s="1041"/>
      <c r="BD6" s="1041"/>
      <c r="BE6" s="1041"/>
      <c r="BF6" s="1041"/>
      <c r="BG6" s="1041"/>
      <c r="BH6" s="1041"/>
      <c r="BI6" s="1041"/>
      <c r="BJ6" s="1041"/>
      <c r="BK6" s="1041"/>
      <c r="BL6" s="1041"/>
      <c r="BM6" s="1042"/>
      <c r="BN6" s="1040" t="s">
        <v>111</v>
      </c>
      <c r="BO6" s="1040"/>
      <c r="BP6" s="1040"/>
      <c r="BQ6" s="1040"/>
      <c r="BR6" s="1040"/>
      <c r="BS6" s="1040"/>
      <c r="BT6" s="1040"/>
      <c r="BU6" s="1040"/>
      <c r="BV6" s="1040"/>
      <c r="BW6" s="1040"/>
      <c r="BX6" s="1040"/>
      <c r="BY6" s="1040"/>
      <c r="BZ6" s="1040"/>
      <c r="CA6" s="1040"/>
      <c r="CB6" s="1040"/>
      <c r="CC6" s="1040"/>
      <c r="CD6" s="1040"/>
      <c r="CE6" s="1040"/>
      <c r="CF6" s="1040"/>
      <c r="CG6" s="1040"/>
      <c r="CH6" s="1040"/>
      <c r="CI6" s="1040"/>
      <c r="CJ6" s="1040"/>
      <c r="CK6" s="1040"/>
      <c r="CL6" s="1040"/>
      <c r="CM6" s="1040"/>
      <c r="CN6" s="1040"/>
      <c r="CO6" s="1040"/>
      <c r="CP6" s="1040"/>
      <c r="CQ6" s="1040"/>
      <c r="CR6" s="1040"/>
      <c r="CS6" s="1040"/>
      <c r="CT6" s="1040"/>
      <c r="CU6" s="1040"/>
      <c r="CV6" s="1040"/>
      <c r="CW6" s="1031" t="s">
        <v>70</v>
      </c>
      <c r="CX6" s="40"/>
      <c r="CY6" s="40"/>
      <c r="CZ6" s="40"/>
      <c r="DA6" s="40"/>
      <c r="DB6" s="40"/>
      <c r="DC6" s="40"/>
      <c r="DD6" s="40"/>
      <c r="DE6" s="40"/>
      <c r="DF6" s="40"/>
      <c r="DG6" s="40"/>
      <c r="DH6" s="40"/>
      <c r="DI6" s="40"/>
      <c r="DJ6" s="40"/>
      <c r="DK6" s="40"/>
      <c r="DL6" s="40"/>
      <c r="DM6" s="40"/>
      <c r="DN6" s="40"/>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row>
    <row r="7" spans="1:172" s="65" customFormat="1" ht="219.75" customHeight="1">
      <c r="A7" s="1036"/>
      <c r="B7" s="1038"/>
      <c r="C7" s="86" t="s">
        <v>122</v>
      </c>
      <c r="D7" s="86" t="s">
        <v>163</v>
      </c>
      <c r="E7" s="86" t="s">
        <v>164</v>
      </c>
      <c r="F7" s="86" t="s">
        <v>165</v>
      </c>
      <c r="G7" s="86" t="s">
        <v>166</v>
      </c>
      <c r="H7" s="86" t="s">
        <v>123</v>
      </c>
      <c r="I7" s="86" t="s">
        <v>179</v>
      </c>
      <c r="J7" s="87" t="s">
        <v>100</v>
      </c>
      <c r="K7" s="87" t="s">
        <v>121</v>
      </c>
      <c r="L7" s="87" t="s">
        <v>1</v>
      </c>
      <c r="M7" s="87" t="s">
        <v>130</v>
      </c>
      <c r="N7" s="87" t="s">
        <v>172</v>
      </c>
      <c r="O7" s="87" t="s">
        <v>176</v>
      </c>
      <c r="P7" s="87" t="s">
        <v>173</v>
      </c>
      <c r="Q7" s="87" t="s">
        <v>174</v>
      </c>
      <c r="R7" s="87" t="s">
        <v>175</v>
      </c>
      <c r="S7" s="88" t="s">
        <v>125</v>
      </c>
      <c r="T7" s="87" t="s">
        <v>124</v>
      </c>
      <c r="U7" s="87" t="s">
        <v>169</v>
      </c>
      <c r="V7" s="87" t="s">
        <v>3</v>
      </c>
      <c r="W7" s="87" t="s">
        <v>126</v>
      </c>
      <c r="X7" s="87" t="s">
        <v>127</v>
      </c>
      <c r="Y7" s="87" t="s">
        <v>107</v>
      </c>
      <c r="Z7" s="87" t="s">
        <v>103</v>
      </c>
      <c r="AA7" s="87" t="s">
        <v>104</v>
      </c>
      <c r="AB7" s="87" t="s">
        <v>106</v>
      </c>
      <c r="AC7" s="86" t="s">
        <v>129</v>
      </c>
      <c r="AD7" s="86" t="s">
        <v>128</v>
      </c>
      <c r="AE7" s="86" t="s">
        <v>0</v>
      </c>
      <c r="AF7" s="86" t="s">
        <v>113</v>
      </c>
      <c r="AG7" s="86" t="s">
        <v>114</v>
      </c>
      <c r="AH7" s="86" t="s">
        <v>180</v>
      </c>
      <c r="AI7" s="89" t="s">
        <v>134</v>
      </c>
      <c r="AJ7" s="89" t="s">
        <v>131</v>
      </c>
      <c r="AK7" s="89" t="s">
        <v>177</v>
      </c>
      <c r="AL7" s="89" t="s">
        <v>197</v>
      </c>
      <c r="AM7" s="89" t="s">
        <v>135</v>
      </c>
      <c r="AN7" s="89" t="s">
        <v>132</v>
      </c>
      <c r="AO7" s="89" t="s">
        <v>192</v>
      </c>
      <c r="AP7" s="89" t="s">
        <v>178</v>
      </c>
      <c r="AQ7" s="89" t="s">
        <v>195</v>
      </c>
      <c r="AR7" s="89" t="s">
        <v>136</v>
      </c>
      <c r="AS7" s="89" t="s">
        <v>133</v>
      </c>
      <c r="AT7" s="89" t="s">
        <v>193</v>
      </c>
      <c r="AU7" s="89" t="s">
        <v>196</v>
      </c>
      <c r="AV7" s="90" t="s">
        <v>102</v>
      </c>
      <c r="AW7" s="91" t="s">
        <v>105</v>
      </c>
      <c r="AX7" s="91" t="s">
        <v>181</v>
      </c>
      <c r="AY7" s="91" t="s">
        <v>182</v>
      </c>
      <c r="AZ7" s="91" t="s">
        <v>198</v>
      </c>
      <c r="BA7" s="91" t="s">
        <v>200</v>
      </c>
      <c r="BB7" s="91" t="s">
        <v>199</v>
      </c>
      <c r="BC7" s="92" t="s">
        <v>217</v>
      </c>
      <c r="BD7" s="92" t="s">
        <v>216</v>
      </c>
      <c r="BE7" s="93" t="s">
        <v>157</v>
      </c>
      <c r="BF7" s="92" t="s">
        <v>205</v>
      </c>
      <c r="BG7" s="93" t="s">
        <v>158</v>
      </c>
      <c r="BH7" s="92" t="s">
        <v>204</v>
      </c>
      <c r="BI7" s="92" t="s">
        <v>212</v>
      </c>
      <c r="BJ7" s="92" t="s">
        <v>209</v>
      </c>
      <c r="BK7" s="93" t="s">
        <v>159</v>
      </c>
      <c r="BL7" s="92" t="s">
        <v>167</v>
      </c>
      <c r="BM7" s="94" t="s">
        <v>171</v>
      </c>
      <c r="BN7" s="95" t="s">
        <v>108</v>
      </c>
      <c r="BO7" s="96" t="s">
        <v>183</v>
      </c>
      <c r="BP7" s="86" t="s">
        <v>184</v>
      </c>
      <c r="BQ7" s="92" t="s">
        <v>218</v>
      </c>
      <c r="BR7" s="92" t="s">
        <v>215</v>
      </c>
      <c r="BS7" s="92" t="s">
        <v>210</v>
      </c>
      <c r="BT7" s="92" t="s">
        <v>207</v>
      </c>
      <c r="BU7" s="92" t="s">
        <v>203</v>
      </c>
      <c r="BV7" s="92" t="s">
        <v>206</v>
      </c>
      <c r="BW7" s="92" t="s">
        <v>213</v>
      </c>
      <c r="BX7" s="92" t="s">
        <v>208</v>
      </c>
      <c r="BY7" s="92" t="s">
        <v>214</v>
      </c>
      <c r="BZ7" s="92" t="s">
        <v>211</v>
      </c>
      <c r="CA7" s="86" t="s">
        <v>137</v>
      </c>
      <c r="CB7" s="86" t="s">
        <v>220</v>
      </c>
      <c r="CC7" s="86" t="s">
        <v>219</v>
      </c>
      <c r="CD7" s="86" t="s">
        <v>110</v>
      </c>
      <c r="CE7" s="86" t="s">
        <v>2</v>
      </c>
      <c r="CF7" s="86" t="s">
        <v>108</v>
      </c>
      <c r="CG7" s="86" t="s">
        <v>191</v>
      </c>
      <c r="CH7" s="86" t="s">
        <v>185</v>
      </c>
      <c r="CI7" s="86" t="s">
        <v>186</v>
      </c>
      <c r="CJ7" s="86" t="s">
        <v>187</v>
      </c>
      <c r="CK7" s="86" t="s">
        <v>188</v>
      </c>
      <c r="CL7" s="86" t="s">
        <v>189</v>
      </c>
      <c r="CM7" s="86" t="s">
        <v>190</v>
      </c>
      <c r="CN7" s="87" t="s">
        <v>100</v>
      </c>
      <c r="CO7" s="87" t="s">
        <v>127</v>
      </c>
      <c r="CP7" s="87" t="s">
        <v>107</v>
      </c>
      <c r="CQ7" s="87" t="s">
        <v>138</v>
      </c>
      <c r="CR7" s="87" t="s">
        <v>103</v>
      </c>
      <c r="CS7" s="87" t="s">
        <v>104</v>
      </c>
      <c r="CT7" s="87" t="s">
        <v>106</v>
      </c>
      <c r="CU7" s="87" t="s">
        <v>201</v>
      </c>
      <c r="CV7" s="87" t="s">
        <v>139</v>
      </c>
      <c r="CW7" s="1032"/>
      <c r="CX7" s="63"/>
      <c r="CY7" s="63"/>
      <c r="CZ7" s="63"/>
      <c r="DA7" s="63"/>
      <c r="DB7" s="63"/>
      <c r="DC7" s="63"/>
      <c r="DD7" s="63"/>
      <c r="DE7" s="63"/>
      <c r="DF7" s="63"/>
      <c r="DG7" s="63"/>
      <c r="DH7" s="63"/>
      <c r="DI7" s="63"/>
      <c r="DJ7" s="63"/>
      <c r="DK7" s="63"/>
      <c r="DL7" s="63"/>
      <c r="DM7" s="63"/>
      <c r="DN7" s="63"/>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row>
    <row r="8" spans="1:172" s="65" customFormat="1" ht="34.5" customHeight="1">
      <c r="A8" s="69">
        <v>1</v>
      </c>
      <c r="B8" s="68" t="s">
        <v>140</v>
      </c>
      <c r="C8" s="42">
        <v>1</v>
      </c>
      <c r="D8" s="42"/>
      <c r="E8" s="42"/>
      <c r="F8" s="42"/>
      <c r="G8" s="42">
        <v>1</v>
      </c>
      <c r="H8" s="42"/>
      <c r="I8" s="42">
        <v>1</v>
      </c>
      <c r="J8" s="34"/>
      <c r="K8" s="34">
        <v>1</v>
      </c>
      <c r="L8" s="34">
        <v>1</v>
      </c>
      <c r="M8" s="34"/>
      <c r="N8" s="34"/>
      <c r="O8" s="34"/>
      <c r="P8" s="34"/>
      <c r="Q8" s="34"/>
      <c r="R8" s="34"/>
      <c r="S8" s="34">
        <v>1</v>
      </c>
      <c r="T8" s="43"/>
      <c r="U8" s="53">
        <v>1.5</v>
      </c>
      <c r="V8" s="53"/>
      <c r="W8" s="53"/>
      <c r="X8" s="53"/>
      <c r="Y8" s="53"/>
      <c r="Z8" s="59"/>
      <c r="AA8" s="53"/>
      <c r="AB8" s="53"/>
      <c r="AC8" s="43"/>
      <c r="AD8" s="43"/>
      <c r="AE8" s="43"/>
      <c r="AF8" s="43"/>
      <c r="AG8" s="43"/>
      <c r="AH8" s="43"/>
      <c r="AI8" s="45"/>
      <c r="AJ8" s="45"/>
      <c r="AK8" s="45"/>
      <c r="AL8" s="45"/>
      <c r="AM8" s="45"/>
      <c r="AN8" s="45"/>
      <c r="AO8" s="45"/>
      <c r="AP8" s="45"/>
      <c r="AQ8" s="45"/>
      <c r="AR8" s="45">
        <v>2</v>
      </c>
      <c r="AS8" s="45">
        <v>2</v>
      </c>
      <c r="AT8" s="45">
        <v>1</v>
      </c>
      <c r="AU8" s="45"/>
      <c r="AV8" s="45">
        <v>1</v>
      </c>
      <c r="AW8" s="45">
        <v>2</v>
      </c>
      <c r="AX8" s="54">
        <v>0.5</v>
      </c>
      <c r="AY8" s="54">
        <v>0.5</v>
      </c>
      <c r="AZ8" s="67"/>
      <c r="BA8" s="67"/>
      <c r="BB8" s="67"/>
      <c r="BC8" s="45"/>
      <c r="BD8" s="45"/>
      <c r="BE8" s="45"/>
      <c r="BF8" s="45"/>
      <c r="BG8" s="45"/>
      <c r="BH8" s="45"/>
      <c r="BI8" s="45"/>
      <c r="BJ8" s="45"/>
      <c r="BK8" s="45"/>
      <c r="BL8" s="45">
        <v>1</v>
      </c>
      <c r="BM8" s="46">
        <v>1</v>
      </c>
      <c r="BN8" s="80"/>
      <c r="BO8" s="81">
        <f>C8</f>
        <v>1</v>
      </c>
      <c r="BP8" s="34"/>
      <c r="BQ8" s="42"/>
      <c r="BR8" s="42"/>
      <c r="BS8" s="42"/>
      <c r="BT8" s="42"/>
      <c r="BU8" s="42"/>
      <c r="BV8" s="42"/>
      <c r="BW8" s="42"/>
      <c r="BX8" s="42"/>
      <c r="BY8" s="42"/>
      <c r="BZ8" s="42">
        <f>BL8</f>
        <v>1</v>
      </c>
      <c r="CA8" s="42">
        <f>I8</f>
        <v>1</v>
      </c>
      <c r="CB8" s="42"/>
      <c r="CC8" s="42"/>
      <c r="CD8" s="34">
        <f>S8</f>
        <v>1</v>
      </c>
      <c r="CE8" s="34"/>
      <c r="CF8" s="34">
        <f>L8</f>
        <v>1</v>
      </c>
      <c r="CG8" s="35">
        <f>K8</f>
        <v>1</v>
      </c>
      <c r="CH8" s="34"/>
      <c r="CI8" s="34"/>
      <c r="CJ8" s="34"/>
      <c r="CK8" s="34"/>
      <c r="CL8" s="34"/>
      <c r="CM8" s="34"/>
      <c r="CN8" s="59">
        <v>5.5</v>
      </c>
      <c r="CO8" s="59"/>
      <c r="CP8" s="53"/>
      <c r="CQ8" s="53"/>
      <c r="CR8" s="53"/>
      <c r="CS8" s="59"/>
      <c r="CT8" s="59"/>
      <c r="CU8" s="53"/>
      <c r="CV8" s="53"/>
      <c r="CW8" s="70"/>
      <c r="CX8" s="63"/>
      <c r="CY8" s="63"/>
      <c r="CZ8" s="63"/>
      <c r="DA8" s="63"/>
      <c r="DB8" s="63"/>
      <c r="DC8" s="63"/>
      <c r="DD8" s="63"/>
      <c r="DE8" s="63"/>
      <c r="DF8" s="63"/>
      <c r="DG8" s="63"/>
      <c r="DH8" s="63"/>
      <c r="DI8" s="63"/>
      <c r="DJ8" s="63"/>
      <c r="DK8" s="63"/>
      <c r="DL8" s="63"/>
      <c r="DM8" s="63"/>
      <c r="DN8" s="63"/>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row>
    <row r="9" spans="1:172" s="65" customFormat="1" ht="34.5" customHeight="1">
      <c r="A9" s="71">
        <v>2</v>
      </c>
      <c r="B9" s="60" t="s">
        <v>141</v>
      </c>
      <c r="C9" s="44">
        <v>3</v>
      </c>
      <c r="D9" s="44"/>
      <c r="E9" s="44"/>
      <c r="F9" s="44"/>
      <c r="G9" s="44">
        <v>3</v>
      </c>
      <c r="H9" s="44"/>
      <c r="I9" s="44">
        <v>3</v>
      </c>
      <c r="J9" s="35">
        <v>18</v>
      </c>
      <c r="K9" s="35">
        <v>3</v>
      </c>
      <c r="L9" s="35"/>
      <c r="M9" s="35"/>
      <c r="N9" s="35"/>
      <c r="O9" s="35"/>
      <c r="P9" s="35"/>
      <c r="Q9" s="35"/>
      <c r="R9" s="35"/>
      <c r="S9" s="35">
        <v>1</v>
      </c>
      <c r="T9" s="35"/>
      <c r="U9" s="55">
        <v>1.5</v>
      </c>
      <c r="V9" s="55"/>
      <c r="W9" s="55"/>
      <c r="X9" s="55"/>
      <c r="Y9" s="55"/>
      <c r="Z9" s="54"/>
      <c r="AA9" s="54"/>
      <c r="AB9" s="54"/>
      <c r="AC9" s="45"/>
      <c r="AD9" s="45"/>
      <c r="AE9" s="45"/>
      <c r="AF9" s="45"/>
      <c r="AG9" s="45"/>
      <c r="AH9" s="45"/>
      <c r="AI9" s="45"/>
      <c r="AJ9" s="45"/>
      <c r="AK9" s="45"/>
      <c r="AL9" s="45"/>
      <c r="AM9" s="45"/>
      <c r="AN9" s="45"/>
      <c r="AO9" s="45"/>
      <c r="AP9" s="45"/>
      <c r="AQ9" s="45"/>
      <c r="AR9" s="45">
        <v>16</v>
      </c>
      <c r="AS9" s="45">
        <v>8</v>
      </c>
      <c r="AT9" s="45"/>
      <c r="AU9" s="45"/>
      <c r="AV9" s="45">
        <v>1</v>
      </c>
      <c r="AW9" s="45">
        <v>2</v>
      </c>
      <c r="AX9" s="54">
        <v>1.5</v>
      </c>
      <c r="AY9" s="54">
        <v>1.5</v>
      </c>
      <c r="AZ9" s="67">
        <v>11</v>
      </c>
      <c r="BA9" s="67"/>
      <c r="BB9" s="67"/>
      <c r="BC9" s="45"/>
      <c r="BD9" s="45"/>
      <c r="BE9" s="45"/>
      <c r="BF9" s="45"/>
      <c r="BG9" s="45"/>
      <c r="BH9" s="45"/>
      <c r="BI9" s="45"/>
      <c r="BJ9" s="45"/>
      <c r="BK9" s="45">
        <v>1</v>
      </c>
      <c r="BL9" s="45"/>
      <c r="BM9" s="46">
        <v>1</v>
      </c>
      <c r="BN9" s="82"/>
      <c r="BO9" s="83">
        <f>C9</f>
        <v>3</v>
      </c>
      <c r="BP9" s="35"/>
      <c r="BQ9" s="35"/>
      <c r="BR9" s="35"/>
      <c r="BS9" s="35"/>
      <c r="BT9" s="35"/>
      <c r="BU9" s="35"/>
      <c r="BV9" s="35"/>
      <c r="BW9" s="35"/>
      <c r="BX9" s="35"/>
      <c r="BY9" s="35">
        <f>BK9</f>
        <v>1</v>
      </c>
      <c r="BZ9" s="35"/>
      <c r="CA9" s="35">
        <f>I9</f>
        <v>3</v>
      </c>
      <c r="CB9" s="35">
        <v>8</v>
      </c>
      <c r="CC9" s="35"/>
      <c r="CD9" s="35">
        <f>S9</f>
        <v>1</v>
      </c>
      <c r="CE9" s="35"/>
      <c r="CF9" s="35"/>
      <c r="CG9" s="35">
        <f>K9</f>
        <v>3</v>
      </c>
      <c r="CH9" s="35"/>
      <c r="CI9" s="35"/>
      <c r="CJ9" s="35"/>
      <c r="CK9" s="35"/>
      <c r="CL9" s="35"/>
      <c r="CM9" s="35"/>
      <c r="CN9" s="55">
        <v>17</v>
      </c>
      <c r="CO9" s="54"/>
      <c r="CP9" s="54"/>
      <c r="CQ9" s="54"/>
      <c r="CR9" s="54"/>
      <c r="CS9" s="54"/>
      <c r="CT9" s="54"/>
      <c r="CU9" s="54"/>
      <c r="CV9" s="55"/>
      <c r="CW9" s="72"/>
      <c r="CX9" s="63"/>
      <c r="CY9" s="63"/>
      <c r="CZ9" s="63"/>
      <c r="DA9" s="63"/>
      <c r="DB9" s="63"/>
      <c r="DC9" s="63"/>
      <c r="DD9" s="63"/>
      <c r="DE9" s="63"/>
      <c r="DF9" s="63"/>
      <c r="DG9" s="63"/>
      <c r="DH9" s="63"/>
      <c r="DI9" s="63"/>
      <c r="DJ9" s="63"/>
      <c r="DK9" s="63"/>
      <c r="DL9" s="63"/>
      <c r="DM9" s="63"/>
      <c r="DN9" s="63"/>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row>
    <row r="10" spans="1:172" s="65" customFormat="1" ht="34.5" customHeight="1">
      <c r="A10" s="71">
        <v>3</v>
      </c>
      <c r="B10" s="60" t="s">
        <v>202</v>
      </c>
      <c r="C10" s="44">
        <v>3</v>
      </c>
      <c r="D10" s="44"/>
      <c r="E10" s="44"/>
      <c r="F10" s="44"/>
      <c r="G10" s="44">
        <v>3</v>
      </c>
      <c r="H10" s="44">
        <v>3</v>
      </c>
      <c r="I10" s="44">
        <v>3</v>
      </c>
      <c r="J10" s="35"/>
      <c r="K10" s="35">
        <v>3</v>
      </c>
      <c r="L10" s="35"/>
      <c r="M10" s="35"/>
      <c r="N10" s="35"/>
      <c r="O10" s="35"/>
      <c r="P10" s="35"/>
      <c r="Q10" s="35"/>
      <c r="R10" s="35"/>
      <c r="S10" s="35">
        <v>1</v>
      </c>
      <c r="T10" s="45"/>
      <c r="U10" s="55">
        <v>1.5</v>
      </c>
      <c r="V10" s="54"/>
      <c r="W10" s="54"/>
      <c r="X10" s="54"/>
      <c r="Y10" s="54"/>
      <c r="Z10" s="54"/>
      <c r="AA10" s="55"/>
      <c r="AB10" s="55"/>
      <c r="AC10" s="45"/>
      <c r="AD10" s="45"/>
      <c r="AE10" s="45"/>
      <c r="AF10" s="45"/>
      <c r="AG10" s="45"/>
      <c r="AH10" s="45"/>
      <c r="AI10" s="45"/>
      <c r="AJ10" s="45"/>
      <c r="AK10" s="45"/>
      <c r="AL10" s="45"/>
      <c r="AM10" s="45"/>
      <c r="AN10" s="45"/>
      <c r="AO10" s="45"/>
      <c r="AP10" s="45"/>
      <c r="AQ10" s="45"/>
      <c r="AR10" s="45">
        <v>2</v>
      </c>
      <c r="AS10" s="45">
        <v>3</v>
      </c>
      <c r="AT10" s="45">
        <v>1</v>
      </c>
      <c r="AU10" s="45"/>
      <c r="AV10" s="45">
        <v>1</v>
      </c>
      <c r="AW10" s="45">
        <v>2</v>
      </c>
      <c r="AX10" s="54">
        <v>1</v>
      </c>
      <c r="AY10" s="54">
        <v>1</v>
      </c>
      <c r="AZ10" s="67"/>
      <c r="BA10" s="67"/>
      <c r="BB10" s="67"/>
      <c r="BC10" s="45"/>
      <c r="BD10" s="45"/>
      <c r="BE10" s="45"/>
      <c r="BF10" s="45"/>
      <c r="BG10" s="45"/>
      <c r="BH10" s="45"/>
      <c r="BI10" s="45"/>
      <c r="BJ10" s="45"/>
      <c r="BK10" s="45">
        <v>1</v>
      </c>
      <c r="BL10" s="45"/>
      <c r="BM10" s="46">
        <v>1</v>
      </c>
      <c r="BN10" s="82"/>
      <c r="BO10" s="83">
        <f>C10</f>
        <v>3</v>
      </c>
      <c r="BP10" s="35">
        <f>H10</f>
        <v>3</v>
      </c>
      <c r="BQ10" s="35"/>
      <c r="BR10" s="35"/>
      <c r="BS10" s="35"/>
      <c r="BT10" s="35"/>
      <c r="BU10" s="35"/>
      <c r="BV10" s="35"/>
      <c r="BW10" s="35"/>
      <c r="BX10" s="35"/>
      <c r="BY10" s="35">
        <f>BK10</f>
        <v>1</v>
      </c>
      <c r="BZ10" s="35"/>
      <c r="CA10" s="35">
        <f>I10</f>
        <v>3</v>
      </c>
      <c r="CB10" s="35"/>
      <c r="CC10" s="35"/>
      <c r="CD10" s="35">
        <f>S10</f>
        <v>1</v>
      </c>
      <c r="CE10" s="35"/>
      <c r="CF10" s="35"/>
      <c r="CG10" s="35">
        <f>K10</f>
        <v>3</v>
      </c>
      <c r="CH10" s="35"/>
      <c r="CI10" s="35"/>
      <c r="CJ10" s="35"/>
      <c r="CK10" s="35"/>
      <c r="CL10" s="35"/>
      <c r="CM10" s="35"/>
      <c r="CN10" s="55"/>
      <c r="CO10" s="55"/>
      <c r="CP10" s="55"/>
      <c r="CQ10" s="55"/>
      <c r="CR10" s="55"/>
      <c r="CS10" s="55"/>
      <c r="CT10" s="55"/>
      <c r="CU10" s="55"/>
      <c r="CV10" s="55"/>
      <c r="CW10" s="72"/>
      <c r="CX10" s="63"/>
      <c r="CY10" s="63"/>
      <c r="CZ10" s="63"/>
      <c r="DA10" s="63"/>
      <c r="DB10" s="63"/>
      <c r="DC10" s="63"/>
      <c r="DD10" s="63"/>
      <c r="DE10" s="63"/>
      <c r="DF10" s="63"/>
      <c r="DG10" s="63"/>
      <c r="DH10" s="63"/>
      <c r="DI10" s="63"/>
      <c r="DJ10" s="63"/>
      <c r="DK10" s="63"/>
      <c r="DL10" s="63"/>
      <c r="DM10" s="63"/>
      <c r="DN10" s="63"/>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row>
    <row r="11" spans="1:172" s="65" customFormat="1" ht="34.5" customHeight="1">
      <c r="A11" s="71">
        <v>4</v>
      </c>
      <c r="B11" s="60" t="s">
        <v>221</v>
      </c>
      <c r="C11" s="44">
        <v>1</v>
      </c>
      <c r="D11" s="44"/>
      <c r="E11" s="44"/>
      <c r="F11" s="44">
        <v>1</v>
      </c>
      <c r="G11" s="44"/>
      <c r="H11" s="44"/>
      <c r="I11" s="44"/>
      <c r="J11" s="35"/>
      <c r="K11" s="35"/>
      <c r="L11" s="35">
        <v>1</v>
      </c>
      <c r="M11" s="35"/>
      <c r="N11" s="35"/>
      <c r="O11" s="35"/>
      <c r="P11" s="35"/>
      <c r="Q11" s="35"/>
      <c r="R11" s="35"/>
      <c r="S11" s="35">
        <v>1</v>
      </c>
      <c r="T11" s="45"/>
      <c r="U11" s="55">
        <v>1.5</v>
      </c>
      <c r="V11" s="61"/>
      <c r="W11" s="61"/>
      <c r="X11" s="61"/>
      <c r="Y11" s="61"/>
      <c r="Z11" s="61"/>
      <c r="AA11" s="61"/>
      <c r="AB11" s="61"/>
      <c r="AC11" s="62"/>
      <c r="AD11" s="62"/>
      <c r="AE11" s="62"/>
      <c r="AF11" s="62"/>
      <c r="AG11" s="62"/>
      <c r="AH11" s="62"/>
      <c r="AI11" s="62"/>
      <c r="AJ11" s="62"/>
      <c r="AK11" s="62"/>
      <c r="AL11" s="62"/>
      <c r="AM11" s="62"/>
      <c r="AN11" s="62"/>
      <c r="AO11" s="62"/>
      <c r="AP11" s="62"/>
      <c r="AQ11" s="62"/>
      <c r="AR11" s="45">
        <v>2</v>
      </c>
      <c r="AS11" s="45">
        <v>3</v>
      </c>
      <c r="AT11" s="62">
        <v>1</v>
      </c>
      <c r="AU11" s="62"/>
      <c r="AV11" s="45">
        <v>1</v>
      </c>
      <c r="AW11" s="45">
        <v>2</v>
      </c>
      <c r="AX11" s="54">
        <v>0.5</v>
      </c>
      <c r="AY11" s="54">
        <v>0.5</v>
      </c>
      <c r="AZ11" s="67"/>
      <c r="BA11" s="67"/>
      <c r="BB11" s="67"/>
      <c r="BC11" s="45"/>
      <c r="BD11" s="45"/>
      <c r="BE11" s="45"/>
      <c r="BF11" s="45"/>
      <c r="BG11" s="45"/>
      <c r="BH11" s="45"/>
      <c r="BI11" s="45"/>
      <c r="BJ11" s="45"/>
      <c r="BK11" s="45">
        <v>1</v>
      </c>
      <c r="BL11" s="45"/>
      <c r="BM11" s="46">
        <v>1</v>
      </c>
      <c r="BN11" s="82"/>
      <c r="BO11" s="83">
        <f>C11</f>
        <v>1</v>
      </c>
      <c r="BP11" s="35"/>
      <c r="BQ11" s="35"/>
      <c r="BR11" s="35"/>
      <c r="BS11" s="35"/>
      <c r="BT11" s="35"/>
      <c r="BU11" s="35"/>
      <c r="BV11" s="35"/>
      <c r="BW11" s="73"/>
      <c r="BX11" s="35"/>
      <c r="BY11" s="35">
        <f>BK11</f>
        <v>1</v>
      </c>
      <c r="BZ11" s="35"/>
      <c r="CA11" s="35"/>
      <c r="CB11" s="35"/>
      <c r="CC11" s="35"/>
      <c r="CD11" s="35">
        <f>S11</f>
        <v>1</v>
      </c>
      <c r="CE11" s="35"/>
      <c r="CF11" s="35">
        <f>L11</f>
        <v>1</v>
      </c>
      <c r="CG11" s="35"/>
      <c r="CH11" s="35"/>
      <c r="CI11" s="35"/>
      <c r="CJ11" s="35"/>
      <c r="CK11" s="35"/>
      <c r="CL11" s="35"/>
      <c r="CM11" s="35"/>
      <c r="CN11" s="55"/>
      <c r="CO11" s="55"/>
      <c r="CP11" s="55"/>
      <c r="CQ11" s="55"/>
      <c r="CR11" s="55"/>
      <c r="CS11" s="55"/>
      <c r="CT11" s="55"/>
      <c r="CU11" s="55"/>
      <c r="CV11" s="55"/>
      <c r="CW11" s="72"/>
      <c r="CX11" s="63"/>
      <c r="CY11" s="63"/>
      <c r="CZ11" s="63"/>
      <c r="DA11" s="63"/>
      <c r="DB11" s="63"/>
      <c r="DC11" s="63"/>
      <c r="DD11" s="63"/>
      <c r="DE11" s="63"/>
      <c r="DF11" s="63"/>
      <c r="DG11" s="63"/>
      <c r="DH11" s="63"/>
      <c r="DI11" s="63"/>
      <c r="DJ11" s="63"/>
      <c r="DK11" s="63"/>
      <c r="DL11" s="63"/>
      <c r="DM11" s="63"/>
      <c r="DN11" s="63"/>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row>
    <row r="12" spans="1:172" s="65" customFormat="1" ht="34.5" customHeight="1">
      <c r="A12" s="71">
        <v>85</v>
      </c>
      <c r="B12" s="60" t="s">
        <v>142</v>
      </c>
      <c r="C12" s="44">
        <v>3</v>
      </c>
      <c r="D12" s="44"/>
      <c r="E12" s="44"/>
      <c r="F12" s="44">
        <v>3</v>
      </c>
      <c r="G12" s="44"/>
      <c r="H12" s="44">
        <v>3</v>
      </c>
      <c r="I12" s="44">
        <v>3</v>
      </c>
      <c r="J12" s="35">
        <v>18</v>
      </c>
      <c r="K12" s="35">
        <v>3</v>
      </c>
      <c r="L12" s="35"/>
      <c r="M12" s="35"/>
      <c r="N12" s="35"/>
      <c r="O12" s="35"/>
      <c r="P12" s="35"/>
      <c r="Q12" s="35"/>
      <c r="R12" s="35"/>
      <c r="S12" s="35"/>
      <c r="T12" s="45">
        <v>1</v>
      </c>
      <c r="U12" s="55">
        <v>1.5</v>
      </c>
      <c r="V12" s="61"/>
      <c r="W12" s="61"/>
      <c r="X12" s="61"/>
      <c r="Y12" s="61"/>
      <c r="Z12" s="61"/>
      <c r="AA12" s="61"/>
      <c r="AB12" s="61"/>
      <c r="AC12" s="62"/>
      <c r="AD12" s="62"/>
      <c r="AE12" s="62"/>
      <c r="AF12" s="62"/>
      <c r="AG12" s="62"/>
      <c r="AH12" s="62"/>
      <c r="AI12" s="62"/>
      <c r="AJ12" s="62"/>
      <c r="AK12" s="62"/>
      <c r="AL12" s="62"/>
      <c r="AM12" s="62"/>
      <c r="AN12" s="62"/>
      <c r="AO12" s="62"/>
      <c r="AP12" s="62"/>
      <c r="AQ12" s="62"/>
      <c r="AR12" s="62">
        <v>2</v>
      </c>
      <c r="AS12" s="62">
        <v>2</v>
      </c>
      <c r="AT12" s="62">
        <v>1</v>
      </c>
      <c r="AU12" s="62"/>
      <c r="AV12" s="45">
        <v>1</v>
      </c>
      <c r="AW12" s="45">
        <v>2</v>
      </c>
      <c r="AX12" s="54">
        <v>1.5</v>
      </c>
      <c r="AY12" s="54">
        <v>1.5</v>
      </c>
      <c r="AZ12" s="67">
        <v>11</v>
      </c>
      <c r="BA12" s="67"/>
      <c r="BB12" s="67"/>
      <c r="BC12" s="45"/>
      <c r="BD12" s="45"/>
      <c r="BE12" s="45"/>
      <c r="BF12" s="45"/>
      <c r="BG12" s="45"/>
      <c r="BH12" s="45"/>
      <c r="BI12" s="45"/>
      <c r="BJ12" s="45"/>
      <c r="BK12" s="45"/>
      <c r="BL12" s="45"/>
      <c r="BM12" s="46">
        <v>1</v>
      </c>
      <c r="BN12" s="82"/>
      <c r="BO12" s="83">
        <f>C12</f>
        <v>3</v>
      </c>
      <c r="BP12" s="35">
        <f>H12</f>
        <v>3</v>
      </c>
      <c r="BQ12" s="35"/>
      <c r="BR12" s="35"/>
      <c r="BS12" s="35"/>
      <c r="BT12" s="35"/>
      <c r="BU12" s="35"/>
      <c r="BV12" s="35"/>
      <c r="BW12" s="35"/>
      <c r="BX12" s="35"/>
      <c r="BY12" s="35"/>
      <c r="BZ12" s="35"/>
      <c r="CA12" s="35">
        <f>I12</f>
        <v>3</v>
      </c>
      <c r="CB12" s="35">
        <v>2</v>
      </c>
      <c r="CC12" s="35">
        <v>6</v>
      </c>
      <c r="CD12" s="35"/>
      <c r="CE12" s="35">
        <f>T12</f>
        <v>1</v>
      </c>
      <c r="CF12" s="35"/>
      <c r="CG12" s="35">
        <f>K12</f>
        <v>3</v>
      </c>
      <c r="CH12" s="35"/>
      <c r="CI12" s="35"/>
      <c r="CJ12" s="35"/>
      <c r="CK12" s="35"/>
      <c r="CL12" s="35"/>
      <c r="CM12" s="35"/>
      <c r="CN12" s="55"/>
      <c r="CO12" s="55"/>
      <c r="CP12" s="55"/>
      <c r="CQ12" s="55"/>
      <c r="CR12" s="55"/>
      <c r="CS12" s="55"/>
      <c r="CT12" s="55"/>
      <c r="CU12" s="55"/>
      <c r="CV12" s="55"/>
      <c r="CW12" s="72"/>
      <c r="CX12" s="63"/>
      <c r="CY12" s="63"/>
      <c r="CZ12" s="63"/>
      <c r="DA12" s="63"/>
      <c r="DB12" s="63"/>
      <c r="DC12" s="63"/>
      <c r="DD12" s="63"/>
      <c r="DE12" s="63"/>
      <c r="DF12" s="63"/>
      <c r="DG12" s="63"/>
      <c r="DH12" s="63"/>
      <c r="DI12" s="63"/>
      <c r="DJ12" s="63"/>
      <c r="DK12" s="63"/>
      <c r="DL12" s="63"/>
      <c r="DM12" s="63"/>
      <c r="DN12" s="63"/>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row>
    <row r="13" spans="1:172" s="65" customFormat="1" ht="34.5" customHeight="1">
      <c r="A13" s="71">
        <v>86</v>
      </c>
      <c r="B13" s="60" t="s">
        <v>143</v>
      </c>
      <c r="C13" s="44"/>
      <c r="D13" s="44"/>
      <c r="E13" s="44"/>
      <c r="F13" s="44"/>
      <c r="G13" s="44"/>
      <c r="H13" s="44"/>
      <c r="I13" s="44"/>
      <c r="J13" s="35"/>
      <c r="K13" s="35"/>
      <c r="L13" s="35"/>
      <c r="M13" s="35"/>
      <c r="N13" s="35">
        <v>1</v>
      </c>
      <c r="O13" s="35"/>
      <c r="P13" s="35"/>
      <c r="Q13" s="35"/>
      <c r="R13" s="35"/>
      <c r="S13" s="35"/>
      <c r="T13" s="45">
        <v>1</v>
      </c>
      <c r="U13" s="55">
        <v>1.5</v>
      </c>
      <c r="V13" s="61"/>
      <c r="W13" s="61"/>
      <c r="X13" s="61"/>
      <c r="Y13" s="61"/>
      <c r="Z13" s="61"/>
      <c r="AA13" s="61"/>
      <c r="AB13" s="61"/>
      <c r="AC13" s="62"/>
      <c r="AD13" s="62"/>
      <c r="AE13" s="62"/>
      <c r="AF13" s="62"/>
      <c r="AG13" s="62"/>
      <c r="AH13" s="62"/>
      <c r="AI13" s="62"/>
      <c r="AJ13" s="62"/>
      <c r="AK13" s="62"/>
      <c r="AL13" s="62"/>
      <c r="AM13" s="62"/>
      <c r="AN13" s="62"/>
      <c r="AO13" s="62"/>
      <c r="AP13" s="62"/>
      <c r="AQ13" s="62"/>
      <c r="AR13" s="62">
        <v>2</v>
      </c>
      <c r="AS13" s="62">
        <v>2</v>
      </c>
      <c r="AT13" s="62">
        <v>1</v>
      </c>
      <c r="AU13" s="62"/>
      <c r="AV13" s="45">
        <v>1</v>
      </c>
      <c r="AW13" s="45">
        <v>2</v>
      </c>
      <c r="AX13" s="54"/>
      <c r="AY13" s="54"/>
      <c r="AZ13" s="67">
        <v>11</v>
      </c>
      <c r="BA13" s="67"/>
      <c r="BB13" s="67"/>
      <c r="BC13" s="45"/>
      <c r="BD13" s="45"/>
      <c r="BE13" s="45"/>
      <c r="BF13" s="45"/>
      <c r="BG13" s="45"/>
      <c r="BH13" s="45"/>
      <c r="BI13" s="45"/>
      <c r="BJ13" s="45"/>
      <c r="BK13" s="45"/>
      <c r="BL13" s="45"/>
      <c r="BM13" s="46">
        <v>1</v>
      </c>
      <c r="BN13" s="82"/>
      <c r="BO13" s="83"/>
      <c r="BP13" s="35"/>
      <c r="BQ13" s="35"/>
      <c r="BR13" s="35"/>
      <c r="BS13" s="35"/>
      <c r="BT13" s="35"/>
      <c r="BU13" s="35"/>
      <c r="BV13" s="35"/>
      <c r="BW13" s="35"/>
      <c r="BX13" s="35"/>
      <c r="BY13" s="35"/>
      <c r="BZ13" s="35"/>
      <c r="CA13" s="35"/>
      <c r="CB13" s="35">
        <v>2</v>
      </c>
      <c r="CC13" s="35">
        <v>6</v>
      </c>
      <c r="CD13" s="35"/>
      <c r="CE13" s="35">
        <f>T13</f>
        <v>1</v>
      </c>
      <c r="CF13" s="35"/>
      <c r="CG13" s="35"/>
      <c r="CH13" s="35"/>
      <c r="CI13" s="35">
        <f>N13</f>
        <v>1</v>
      </c>
      <c r="CJ13" s="35"/>
      <c r="CK13" s="35"/>
      <c r="CL13" s="35"/>
      <c r="CM13" s="35"/>
      <c r="CN13" s="55"/>
      <c r="CO13" s="55"/>
      <c r="CP13" s="55"/>
      <c r="CQ13" s="55"/>
      <c r="CR13" s="55"/>
      <c r="CS13" s="55"/>
      <c r="CT13" s="55"/>
      <c r="CU13" s="55"/>
      <c r="CV13" s="55"/>
      <c r="CW13" s="72"/>
      <c r="CX13" s="63"/>
      <c r="CY13" s="63"/>
      <c r="CZ13" s="63"/>
      <c r="DA13" s="63"/>
      <c r="DB13" s="63"/>
      <c r="DC13" s="63"/>
      <c r="DD13" s="63"/>
      <c r="DE13" s="63"/>
      <c r="DF13" s="63"/>
      <c r="DG13" s="63"/>
      <c r="DH13" s="63"/>
      <c r="DI13" s="63"/>
      <c r="DJ13" s="63"/>
      <c r="DK13" s="63"/>
      <c r="DL13" s="63"/>
      <c r="DM13" s="63"/>
      <c r="DN13" s="63"/>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row>
    <row r="14" spans="1:172" s="76" customFormat="1" ht="34.5" customHeight="1">
      <c r="A14" s="71">
        <v>87</v>
      </c>
      <c r="B14" s="60" t="s">
        <v>144</v>
      </c>
      <c r="C14" s="44">
        <v>3</v>
      </c>
      <c r="D14" s="44">
        <v>3</v>
      </c>
      <c r="E14" s="44"/>
      <c r="F14" s="44"/>
      <c r="G14" s="44"/>
      <c r="H14" s="44">
        <v>3</v>
      </c>
      <c r="I14" s="44"/>
      <c r="J14" s="35"/>
      <c r="K14" s="35"/>
      <c r="L14" s="35"/>
      <c r="M14" s="35"/>
      <c r="N14" s="35"/>
      <c r="O14" s="35"/>
      <c r="P14" s="35"/>
      <c r="Q14" s="35"/>
      <c r="R14" s="35"/>
      <c r="S14" s="35"/>
      <c r="T14" s="45">
        <v>1</v>
      </c>
      <c r="U14" s="55">
        <v>1.5</v>
      </c>
      <c r="V14" s="54"/>
      <c r="W14" s="54"/>
      <c r="X14" s="54"/>
      <c r="Y14" s="54"/>
      <c r="Z14" s="54"/>
      <c r="AA14" s="54"/>
      <c r="AB14" s="54"/>
      <c r="AC14" s="45"/>
      <c r="AD14" s="45"/>
      <c r="AE14" s="45"/>
      <c r="AF14" s="45"/>
      <c r="AG14" s="45"/>
      <c r="AH14" s="45"/>
      <c r="AI14" s="45"/>
      <c r="AJ14" s="45"/>
      <c r="AK14" s="45"/>
      <c r="AL14" s="45"/>
      <c r="AM14" s="45">
        <v>2</v>
      </c>
      <c r="AN14" s="45">
        <v>2</v>
      </c>
      <c r="AO14" s="45">
        <v>1</v>
      </c>
      <c r="AP14" s="45">
        <v>1</v>
      </c>
      <c r="AQ14" s="45"/>
      <c r="AR14" s="45"/>
      <c r="AS14" s="45"/>
      <c r="AT14" s="45"/>
      <c r="AU14" s="45"/>
      <c r="AV14" s="45">
        <v>1</v>
      </c>
      <c r="AW14" s="45">
        <v>2</v>
      </c>
      <c r="AX14" s="54">
        <v>1.5</v>
      </c>
      <c r="AY14" s="54">
        <v>1.5</v>
      </c>
      <c r="AZ14" s="67"/>
      <c r="BA14" s="67">
        <v>2</v>
      </c>
      <c r="BB14" s="67">
        <v>9</v>
      </c>
      <c r="BC14" s="45"/>
      <c r="BD14" s="45"/>
      <c r="BE14" s="45"/>
      <c r="BF14" s="45">
        <v>1</v>
      </c>
      <c r="BG14" s="45"/>
      <c r="BH14" s="45"/>
      <c r="BI14" s="45"/>
      <c r="BJ14" s="45"/>
      <c r="BK14" s="45"/>
      <c r="BL14" s="45"/>
      <c r="BM14" s="46">
        <v>1</v>
      </c>
      <c r="BN14" s="82"/>
      <c r="BO14" s="83">
        <f>C14</f>
        <v>3</v>
      </c>
      <c r="BP14" s="35">
        <f>H14</f>
        <v>3</v>
      </c>
      <c r="BQ14" s="35"/>
      <c r="BR14" s="35"/>
      <c r="BS14" s="35"/>
      <c r="BT14" s="35">
        <f>BF14</f>
        <v>1</v>
      </c>
      <c r="BU14" s="35"/>
      <c r="BV14" s="35"/>
      <c r="BW14" s="35"/>
      <c r="BX14" s="35"/>
      <c r="BY14" s="35"/>
      <c r="BZ14" s="35"/>
      <c r="CA14" s="35"/>
      <c r="CB14" s="35">
        <v>2</v>
      </c>
      <c r="CC14" s="35">
        <v>6</v>
      </c>
      <c r="CD14" s="35"/>
      <c r="CE14" s="35">
        <f>T14</f>
        <v>1</v>
      </c>
      <c r="CF14" s="35"/>
      <c r="CG14" s="35"/>
      <c r="CH14" s="35"/>
      <c r="CI14" s="35"/>
      <c r="CJ14" s="35"/>
      <c r="CK14" s="35"/>
      <c r="CL14" s="35"/>
      <c r="CM14" s="35"/>
      <c r="CN14" s="55"/>
      <c r="CO14" s="55"/>
      <c r="CP14" s="55"/>
      <c r="CQ14" s="55"/>
      <c r="CR14" s="55"/>
      <c r="CS14" s="55"/>
      <c r="CT14" s="55"/>
      <c r="CU14" s="55"/>
      <c r="CV14" s="55"/>
      <c r="CW14" s="72"/>
      <c r="CX14" s="74"/>
      <c r="CY14" s="74"/>
      <c r="CZ14" s="74"/>
      <c r="DA14" s="74"/>
      <c r="DB14" s="74"/>
      <c r="DC14" s="74"/>
      <c r="DD14" s="74"/>
      <c r="DE14" s="74"/>
      <c r="DF14" s="74"/>
      <c r="DG14" s="74"/>
      <c r="DH14" s="74"/>
      <c r="DI14" s="74"/>
      <c r="DJ14" s="74"/>
      <c r="DK14" s="74"/>
      <c r="DL14" s="74"/>
      <c r="DM14" s="74"/>
      <c r="DN14" s="74"/>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row>
    <row r="15" spans="1:172" customFormat="1" ht="33" customHeight="1">
      <c r="A15" s="71">
        <v>88</v>
      </c>
      <c r="B15" s="60" t="s">
        <v>145</v>
      </c>
      <c r="C15" s="44"/>
      <c r="D15" s="44"/>
      <c r="E15" s="44"/>
      <c r="F15" s="44"/>
      <c r="G15" s="44"/>
      <c r="H15" s="44"/>
      <c r="I15" s="44"/>
      <c r="J15" s="35"/>
      <c r="K15" s="35"/>
      <c r="L15" s="35"/>
      <c r="M15" s="35"/>
      <c r="N15" s="35">
        <v>1</v>
      </c>
      <c r="O15" s="35"/>
      <c r="P15" s="35"/>
      <c r="Q15" s="35"/>
      <c r="R15" s="35"/>
      <c r="S15" s="35"/>
      <c r="T15" s="45">
        <v>1</v>
      </c>
      <c r="U15" s="55">
        <v>1.5</v>
      </c>
      <c r="V15" s="54"/>
      <c r="W15" s="54"/>
      <c r="X15" s="54"/>
      <c r="Y15" s="54"/>
      <c r="Z15" s="54"/>
      <c r="AA15" s="54"/>
      <c r="AB15" s="54"/>
      <c r="AC15" s="45"/>
      <c r="AD15" s="45"/>
      <c r="AE15" s="45"/>
      <c r="AF15" s="45"/>
      <c r="AG15" s="45"/>
      <c r="AH15" s="45"/>
      <c r="AI15" s="45"/>
      <c r="AJ15" s="45"/>
      <c r="AK15" s="45"/>
      <c r="AL15" s="45"/>
      <c r="AM15" s="45"/>
      <c r="AN15" s="45"/>
      <c r="AO15" s="45"/>
      <c r="AP15" s="45"/>
      <c r="AQ15" s="45"/>
      <c r="AR15" s="45">
        <v>2</v>
      </c>
      <c r="AS15" s="45">
        <v>2</v>
      </c>
      <c r="AT15" s="45">
        <v>1</v>
      </c>
      <c r="AU15" s="45"/>
      <c r="AV15" s="45">
        <v>1</v>
      </c>
      <c r="AW15" s="45">
        <v>2</v>
      </c>
      <c r="AX15" s="54"/>
      <c r="AY15" s="54"/>
      <c r="AZ15" s="67">
        <v>11</v>
      </c>
      <c r="BA15" s="67"/>
      <c r="BB15" s="67"/>
      <c r="BC15" s="45"/>
      <c r="BD15" s="45"/>
      <c r="BE15" s="45"/>
      <c r="BF15" s="45"/>
      <c r="BG15" s="45"/>
      <c r="BH15" s="45"/>
      <c r="BI15" s="45">
        <v>1</v>
      </c>
      <c r="BJ15" s="45"/>
      <c r="BK15" s="45"/>
      <c r="BL15" s="45"/>
      <c r="BM15" s="46">
        <v>1</v>
      </c>
      <c r="BN15" s="82"/>
      <c r="BO15" s="83"/>
      <c r="BP15" s="35"/>
      <c r="BQ15" s="35"/>
      <c r="BR15" s="35"/>
      <c r="BS15" s="35"/>
      <c r="BT15" s="35"/>
      <c r="BU15" s="35"/>
      <c r="BV15" s="35"/>
      <c r="BW15" s="35">
        <f>BI15</f>
        <v>1</v>
      </c>
      <c r="BX15" s="35"/>
      <c r="BY15" s="35"/>
      <c r="BZ15" s="35"/>
      <c r="CA15" s="35"/>
      <c r="CB15" s="35">
        <v>2</v>
      </c>
      <c r="CC15" s="35">
        <v>4</v>
      </c>
      <c r="CD15" s="35"/>
      <c r="CE15" s="35">
        <f>T15</f>
        <v>1</v>
      </c>
      <c r="CF15" s="35"/>
      <c r="CG15" s="35"/>
      <c r="CH15" s="35"/>
      <c r="CI15" s="35"/>
      <c r="CJ15" s="35"/>
      <c r="CK15" s="35"/>
      <c r="CL15" s="35"/>
      <c r="CM15" s="35"/>
      <c r="CN15" s="55"/>
      <c r="CO15" s="55"/>
      <c r="CP15" s="55"/>
      <c r="CQ15" s="55"/>
      <c r="CR15" s="55"/>
      <c r="CS15" s="55"/>
      <c r="CT15" s="55"/>
      <c r="CU15" s="55"/>
      <c r="CV15" s="55"/>
      <c r="CW15" s="72"/>
    </row>
    <row r="16" spans="1:172" s="79" customFormat="1" ht="34.5" customHeight="1">
      <c r="A16" s="71">
        <v>89</v>
      </c>
      <c r="B16" s="60" t="s">
        <v>146</v>
      </c>
      <c r="C16" s="44"/>
      <c r="D16" s="44"/>
      <c r="E16" s="44"/>
      <c r="F16" s="44"/>
      <c r="G16" s="44"/>
      <c r="H16" s="44"/>
      <c r="I16" s="44"/>
      <c r="J16" s="35"/>
      <c r="K16" s="35"/>
      <c r="L16" s="35"/>
      <c r="M16" s="35"/>
      <c r="N16" s="35"/>
      <c r="O16" s="35">
        <v>1</v>
      </c>
      <c r="P16" s="35"/>
      <c r="Q16" s="35"/>
      <c r="R16" s="35"/>
      <c r="S16" s="35"/>
      <c r="T16" s="45">
        <v>1</v>
      </c>
      <c r="U16" s="55">
        <v>1.5</v>
      </c>
      <c r="V16" s="61"/>
      <c r="W16" s="61"/>
      <c r="X16" s="61"/>
      <c r="Y16" s="61">
        <v>48</v>
      </c>
      <c r="Z16" s="61">
        <v>16</v>
      </c>
      <c r="AA16" s="61"/>
      <c r="AB16" s="61"/>
      <c r="AC16" s="62"/>
      <c r="AD16" s="62"/>
      <c r="AE16" s="62">
        <v>12</v>
      </c>
      <c r="AF16" s="62">
        <v>4</v>
      </c>
      <c r="AG16" s="62"/>
      <c r="AH16" s="62"/>
      <c r="AI16" s="62"/>
      <c r="AJ16" s="62"/>
      <c r="AK16" s="62"/>
      <c r="AL16" s="62"/>
      <c r="AM16" s="62">
        <v>16</v>
      </c>
      <c r="AN16" s="62">
        <v>8</v>
      </c>
      <c r="AO16" s="62"/>
      <c r="AP16" s="62">
        <v>1</v>
      </c>
      <c r="AQ16" s="62">
        <v>6</v>
      </c>
      <c r="AR16" s="62"/>
      <c r="AS16" s="62"/>
      <c r="AT16" s="62"/>
      <c r="AU16" s="62"/>
      <c r="AV16" s="45">
        <v>1</v>
      </c>
      <c r="AW16" s="45">
        <v>2</v>
      </c>
      <c r="AX16" s="54"/>
      <c r="AY16" s="54"/>
      <c r="AZ16" s="67">
        <v>2</v>
      </c>
      <c r="BA16" s="67">
        <v>9</v>
      </c>
      <c r="BB16" s="67"/>
      <c r="BC16" s="45"/>
      <c r="BD16" s="45"/>
      <c r="BE16" s="45"/>
      <c r="BF16" s="45"/>
      <c r="BG16" s="45">
        <v>1</v>
      </c>
      <c r="BH16" s="45"/>
      <c r="BI16" s="45"/>
      <c r="BJ16" s="45"/>
      <c r="BK16" s="45"/>
      <c r="BL16" s="45"/>
      <c r="BM16" s="46">
        <v>1</v>
      </c>
      <c r="BN16" s="82"/>
      <c r="BO16" s="83"/>
      <c r="BP16" s="35"/>
      <c r="BQ16" s="35"/>
      <c r="BR16" s="35"/>
      <c r="BS16" s="35"/>
      <c r="BT16" s="35"/>
      <c r="BU16" s="35">
        <f>BG16</f>
        <v>1</v>
      </c>
      <c r="BV16" s="35"/>
      <c r="BW16" s="35"/>
      <c r="BX16" s="35"/>
      <c r="BY16" s="35"/>
      <c r="BZ16" s="35"/>
      <c r="CA16" s="35"/>
      <c r="CB16" s="35">
        <v>2</v>
      </c>
      <c r="CC16" s="35">
        <v>4</v>
      </c>
      <c r="CD16" s="35"/>
      <c r="CE16" s="35">
        <f>T16</f>
        <v>1</v>
      </c>
      <c r="CF16" s="35"/>
      <c r="CG16" s="35"/>
      <c r="CH16" s="35"/>
      <c r="CI16" s="35"/>
      <c r="CJ16" s="35">
        <f>O16</f>
        <v>1</v>
      </c>
      <c r="CK16" s="35"/>
      <c r="CL16" s="35"/>
      <c r="CM16" s="35"/>
      <c r="CN16" s="55"/>
      <c r="CO16" s="55"/>
      <c r="CP16" s="55"/>
      <c r="CQ16" s="55"/>
      <c r="CR16" s="55"/>
      <c r="CS16" s="55">
        <f>2*3*7.4</f>
        <v>44.400000000000006</v>
      </c>
      <c r="CT16" s="55">
        <f>2*3*7.4</f>
        <v>44.400000000000006</v>
      </c>
      <c r="CU16" s="55"/>
      <c r="CV16" s="55"/>
      <c r="CW16" s="72"/>
      <c r="CX16" s="77"/>
      <c r="CY16" s="77"/>
      <c r="CZ16" s="77"/>
      <c r="DA16" s="77"/>
      <c r="DB16" s="77"/>
      <c r="DC16" s="77"/>
      <c r="DD16" s="77"/>
      <c r="DE16" s="77"/>
      <c r="DF16" s="77"/>
      <c r="DG16" s="77"/>
      <c r="DH16" s="77"/>
      <c r="DI16" s="77"/>
      <c r="DJ16" s="77"/>
      <c r="DK16" s="77"/>
      <c r="DL16" s="77"/>
      <c r="DM16" s="77"/>
      <c r="DN16" s="77"/>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row>
    <row r="17" spans="1:172" s="65" customFormat="1" ht="34.5" customHeight="1">
      <c r="A17" s="71">
        <v>90</v>
      </c>
      <c r="B17" s="60" t="s">
        <v>147</v>
      </c>
      <c r="C17" s="44"/>
      <c r="D17" s="44"/>
      <c r="E17" s="44"/>
      <c r="F17" s="44"/>
      <c r="G17" s="44"/>
      <c r="H17" s="44"/>
      <c r="I17" s="44"/>
      <c r="J17" s="35"/>
      <c r="K17" s="35"/>
      <c r="L17" s="35"/>
      <c r="M17" s="35"/>
      <c r="N17" s="35"/>
      <c r="O17" s="35"/>
      <c r="P17" s="35"/>
      <c r="Q17" s="35"/>
      <c r="R17" s="35"/>
      <c r="S17" s="35"/>
      <c r="T17" s="45"/>
      <c r="U17" s="55">
        <v>1.5</v>
      </c>
      <c r="V17" s="61"/>
      <c r="W17" s="61"/>
      <c r="X17" s="61"/>
      <c r="Y17" s="61"/>
      <c r="Z17" s="61"/>
      <c r="AA17" s="61"/>
      <c r="AB17" s="61"/>
      <c r="AC17" s="62"/>
      <c r="AD17" s="62"/>
      <c r="AE17" s="62"/>
      <c r="AF17" s="62"/>
      <c r="AG17" s="62"/>
      <c r="AH17" s="62"/>
      <c r="AI17" s="62"/>
      <c r="AJ17" s="62"/>
      <c r="AK17" s="62"/>
      <c r="AL17" s="62"/>
      <c r="AM17" s="62"/>
      <c r="AN17" s="62"/>
      <c r="AO17" s="62"/>
      <c r="AP17" s="62"/>
      <c r="AQ17" s="62"/>
      <c r="AR17" s="62"/>
      <c r="AS17" s="62"/>
      <c r="AT17" s="62"/>
      <c r="AU17" s="62"/>
      <c r="AV17" s="45"/>
      <c r="AW17" s="45">
        <v>2</v>
      </c>
      <c r="AX17" s="54">
        <v>1.5</v>
      </c>
      <c r="AY17" s="54">
        <v>1.5</v>
      </c>
      <c r="AZ17" s="67"/>
      <c r="BA17" s="67"/>
      <c r="BB17" s="67"/>
      <c r="BC17" s="45"/>
      <c r="BD17" s="45"/>
      <c r="BE17" s="45"/>
      <c r="BF17" s="45"/>
      <c r="BG17" s="45"/>
      <c r="BH17" s="45">
        <v>1</v>
      </c>
      <c r="BI17" s="45"/>
      <c r="BJ17" s="45"/>
      <c r="BK17" s="45"/>
      <c r="BL17" s="45"/>
      <c r="BM17" s="46">
        <v>1</v>
      </c>
      <c r="BN17" s="82"/>
      <c r="BO17" s="83"/>
      <c r="BP17" s="35"/>
      <c r="BQ17" s="35"/>
      <c r="BR17" s="35"/>
      <c r="BS17" s="35"/>
      <c r="BT17" s="35"/>
      <c r="BU17" s="35"/>
      <c r="BV17" s="35">
        <f>BH17</f>
        <v>1</v>
      </c>
      <c r="BW17" s="35"/>
      <c r="BX17" s="35"/>
      <c r="BY17" s="35"/>
      <c r="BZ17" s="35"/>
      <c r="CA17" s="35"/>
      <c r="CB17" s="35"/>
      <c r="CC17" s="35"/>
      <c r="CD17" s="35"/>
      <c r="CE17" s="35"/>
      <c r="CF17" s="35"/>
      <c r="CG17" s="35"/>
      <c r="CH17" s="35"/>
      <c r="CI17" s="35"/>
      <c r="CJ17" s="35"/>
      <c r="CK17" s="35"/>
      <c r="CL17" s="35"/>
      <c r="CM17" s="35"/>
      <c r="CN17" s="55"/>
      <c r="CO17" s="55"/>
      <c r="CP17" s="55"/>
      <c r="CQ17" s="55"/>
      <c r="CR17" s="55"/>
      <c r="CS17" s="55"/>
      <c r="CT17" s="55"/>
      <c r="CU17" s="55"/>
      <c r="CV17" s="55"/>
      <c r="CW17" s="72"/>
      <c r="CX17" s="63"/>
      <c r="CY17" s="63"/>
      <c r="CZ17" s="63"/>
      <c r="DA17" s="63"/>
      <c r="DB17" s="63"/>
      <c r="DC17" s="63"/>
      <c r="DD17" s="63"/>
      <c r="DE17" s="63"/>
      <c r="DF17" s="63"/>
      <c r="DG17" s="63"/>
      <c r="DH17" s="63"/>
      <c r="DI17" s="63"/>
      <c r="DJ17" s="63"/>
      <c r="DK17" s="63"/>
      <c r="DL17" s="63"/>
      <c r="DM17" s="63"/>
      <c r="DN17" s="63"/>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row>
    <row r="18" spans="1:172" s="65" customFormat="1" ht="34.5" customHeight="1">
      <c r="A18" s="71">
        <v>91</v>
      </c>
      <c r="B18" s="60" t="s">
        <v>148</v>
      </c>
      <c r="C18" s="44"/>
      <c r="D18" s="44"/>
      <c r="E18" s="44"/>
      <c r="F18" s="44"/>
      <c r="G18" s="44"/>
      <c r="H18" s="44"/>
      <c r="I18" s="44"/>
      <c r="J18" s="35"/>
      <c r="K18" s="35"/>
      <c r="L18" s="35"/>
      <c r="M18" s="35"/>
      <c r="N18" s="35"/>
      <c r="O18" s="35"/>
      <c r="P18" s="35"/>
      <c r="Q18" s="35"/>
      <c r="R18" s="35"/>
      <c r="S18" s="35"/>
      <c r="T18" s="45"/>
      <c r="U18" s="55">
        <v>1.5</v>
      </c>
      <c r="V18" s="61"/>
      <c r="W18" s="61"/>
      <c r="X18" s="61"/>
      <c r="Y18" s="61"/>
      <c r="Z18" s="61"/>
      <c r="AA18" s="61"/>
      <c r="AB18" s="61"/>
      <c r="AC18" s="62"/>
      <c r="AD18" s="62"/>
      <c r="AE18" s="62"/>
      <c r="AF18" s="62"/>
      <c r="AG18" s="62"/>
      <c r="AH18" s="62"/>
      <c r="AI18" s="62"/>
      <c r="AJ18" s="62"/>
      <c r="AK18" s="62"/>
      <c r="AL18" s="62"/>
      <c r="AM18" s="62"/>
      <c r="AN18" s="62"/>
      <c r="AO18" s="62"/>
      <c r="AP18" s="62"/>
      <c r="AQ18" s="62"/>
      <c r="AR18" s="62"/>
      <c r="AS18" s="62"/>
      <c r="AT18" s="62"/>
      <c r="AU18" s="62"/>
      <c r="AV18" s="45"/>
      <c r="AW18" s="45">
        <v>2</v>
      </c>
      <c r="AX18" s="54">
        <v>1.5</v>
      </c>
      <c r="AY18" s="54">
        <v>1.5</v>
      </c>
      <c r="AZ18" s="67"/>
      <c r="BA18" s="67"/>
      <c r="BB18" s="67"/>
      <c r="BC18" s="45"/>
      <c r="BD18" s="45"/>
      <c r="BE18" s="45"/>
      <c r="BF18" s="45"/>
      <c r="BG18" s="45"/>
      <c r="BH18" s="45">
        <v>1</v>
      </c>
      <c r="BI18" s="45"/>
      <c r="BJ18" s="45"/>
      <c r="BK18" s="45"/>
      <c r="BL18" s="45"/>
      <c r="BM18" s="46">
        <v>1</v>
      </c>
      <c r="BN18" s="82"/>
      <c r="BO18" s="83"/>
      <c r="BP18" s="35"/>
      <c r="BQ18" s="35"/>
      <c r="BR18" s="35"/>
      <c r="BS18" s="35"/>
      <c r="BT18" s="35"/>
      <c r="BU18" s="35"/>
      <c r="BV18" s="35">
        <f>BH18</f>
        <v>1</v>
      </c>
      <c r="BW18" s="35"/>
      <c r="BX18" s="35"/>
      <c r="BY18" s="35"/>
      <c r="BZ18" s="35"/>
      <c r="CA18" s="35"/>
      <c r="CB18" s="35"/>
      <c r="CC18" s="35"/>
      <c r="CD18" s="35"/>
      <c r="CE18" s="35"/>
      <c r="CF18" s="35"/>
      <c r="CG18" s="35"/>
      <c r="CH18" s="35"/>
      <c r="CI18" s="35"/>
      <c r="CJ18" s="35"/>
      <c r="CK18" s="35"/>
      <c r="CL18" s="35"/>
      <c r="CM18" s="35"/>
      <c r="CN18" s="55"/>
      <c r="CO18" s="55"/>
      <c r="CP18" s="55"/>
      <c r="CQ18" s="55"/>
      <c r="CR18" s="55"/>
      <c r="CS18" s="55"/>
      <c r="CT18" s="55"/>
      <c r="CU18" s="55"/>
      <c r="CV18" s="55"/>
      <c r="CW18" s="72"/>
      <c r="CX18" s="63"/>
      <c r="CY18" s="63"/>
      <c r="CZ18" s="63"/>
      <c r="DA18" s="63"/>
      <c r="DB18" s="63"/>
      <c r="DC18" s="63"/>
      <c r="DD18" s="63"/>
      <c r="DE18" s="63"/>
      <c r="DF18" s="63"/>
      <c r="DG18" s="63"/>
      <c r="DH18" s="63"/>
      <c r="DI18" s="63"/>
      <c r="DJ18" s="63"/>
      <c r="DK18" s="63"/>
      <c r="DL18" s="63"/>
      <c r="DM18" s="63"/>
      <c r="DN18" s="63"/>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row>
    <row r="19" spans="1:172" s="65" customFormat="1" ht="34.5" customHeight="1">
      <c r="A19" s="71">
        <v>92</v>
      </c>
      <c r="B19" s="60" t="s">
        <v>149</v>
      </c>
      <c r="C19" s="44"/>
      <c r="D19" s="44"/>
      <c r="E19" s="44"/>
      <c r="F19" s="44"/>
      <c r="G19" s="44"/>
      <c r="H19" s="44"/>
      <c r="I19" s="44"/>
      <c r="J19" s="35"/>
      <c r="K19" s="35"/>
      <c r="L19" s="35"/>
      <c r="M19" s="35"/>
      <c r="N19" s="35"/>
      <c r="O19" s="35"/>
      <c r="P19" s="35"/>
      <c r="Q19" s="35"/>
      <c r="R19" s="35"/>
      <c r="S19" s="35"/>
      <c r="T19" s="45"/>
      <c r="U19" s="55">
        <v>1.5</v>
      </c>
      <c r="V19" s="61"/>
      <c r="W19" s="61"/>
      <c r="X19" s="61"/>
      <c r="Y19" s="61"/>
      <c r="Z19" s="61"/>
      <c r="AA19" s="61"/>
      <c r="AB19" s="61"/>
      <c r="AC19" s="62"/>
      <c r="AD19" s="62"/>
      <c r="AE19" s="62"/>
      <c r="AF19" s="62"/>
      <c r="AG19" s="62"/>
      <c r="AH19" s="62"/>
      <c r="AI19" s="62"/>
      <c r="AJ19" s="62"/>
      <c r="AK19" s="62"/>
      <c r="AL19" s="62"/>
      <c r="AM19" s="62"/>
      <c r="AN19" s="62"/>
      <c r="AO19" s="62"/>
      <c r="AP19" s="62"/>
      <c r="AQ19" s="62"/>
      <c r="AR19" s="62"/>
      <c r="AS19" s="62"/>
      <c r="AT19" s="62"/>
      <c r="AU19" s="62"/>
      <c r="AV19" s="45"/>
      <c r="AW19" s="45">
        <v>2</v>
      </c>
      <c r="AX19" s="54">
        <v>1.5</v>
      </c>
      <c r="AY19" s="54">
        <v>1.5</v>
      </c>
      <c r="AZ19" s="67"/>
      <c r="BA19" s="67"/>
      <c r="BB19" s="67"/>
      <c r="BC19" s="45"/>
      <c r="BD19" s="45"/>
      <c r="BE19" s="45"/>
      <c r="BF19" s="45"/>
      <c r="BG19" s="45"/>
      <c r="BH19" s="45">
        <v>1</v>
      </c>
      <c r="BI19" s="45"/>
      <c r="BJ19" s="45"/>
      <c r="BK19" s="45"/>
      <c r="BL19" s="45"/>
      <c r="BM19" s="46">
        <v>1</v>
      </c>
      <c r="BN19" s="82"/>
      <c r="BO19" s="83"/>
      <c r="BP19" s="35"/>
      <c r="BQ19" s="35"/>
      <c r="BR19" s="35"/>
      <c r="BS19" s="35"/>
      <c r="BT19" s="35"/>
      <c r="BU19" s="35"/>
      <c r="BV19" s="35">
        <f>BH19</f>
        <v>1</v>
      </c>
      <c r="BW19" s="35"/>
      <c r="BX19" s="35"/>
      <c r="BY19" s="35"/>
      <c r="BZ19" s="35"/>
      <c r="CA19" s="35"/>
      <c r="CB19" s="35"/>
      <c r="CC19" s="35"/>
      <c r="CD19" s="35"/>
      <c r="CE19" s="35"/>
      <c r="CF19" s="35"/>
      <c r="CG19" s="35"/>
      <c r="CH19" s="35"/>
      <c r="CI19" s="35"/>
      <c r="CJ19" s="35"/>
      <c r="CK19" s="35"/>
      <c r="CL19" s="35"/>
      <c r="CM19" s="35"/>
      <c r="CN19" s="55"/>
      <c r="CO19" s="55"/>
      <c r="CP19" s="55"/>
      <c r="CQ19" s="55"/>
      <c r="CR19" s="55"/>
      <c r="CS19" s="55"/>
      <c r="CT19" s="55"/>
      <c r="CU19" s="55"/>
      <c r="CV19" s="55"/>
      <c r="CW19" s="72"/>
      <c r="CX19" s="63"/>
      <c r="CY19" s="63"/>
      <c r="CZ19" s="63"/>
      <c r="DA19" s="63"/>
      <c r="DB19" s="63"/>
      <c r="DC19" s="63"/>
      <c r="DD19" s="63"/>
      <c r="DE19" s="63"/>
      <c r="DF19" s="63"/>
      <c r="DG19" s="63"/>
      <c r="DH19" s="63"/>
      <c r="DI19" s="63"/>
      <c r="DJ19" s="63"/>
      <c r="DK19" s="63"/>
      <c r="DL19" s="63"/>
      <c r="DM19" s="63"/>
      <c r="DN19" s="63"/>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row>
    <row r="20" spans="1:172" s="65" customFormat="1" ht="34.5" customHeight="1">
      <c r="A20" s="71">
        <v>93</v>
      </c>
      <c r="B20" s="60" t="s">
        <v>150</v>
      </c>
      <c r="C20" s="44"/>
      <c r="D20" s="44"/>
      <c r="E20" s="44"/>
      <c r="F20" s="44"/>
      <c r="G20" s="44"/>
      <c r="H20" s="44"/>
      <c r="I20" s="44"/>
      <c r="J20" s="35"/>
      <c r="K20" s="35"/>
      <c r="L20" s="35"/>
      <c r="M20" s="35"/>
      <c r="N20" s="35"/>
      <c r="O20" s="35"/>
      <c r="P20" s="35"/>
      <c r="Q20" s="35"/>
      <c r="R20" s="35"/>
      <c r="S20" s="35"/>
      <c r="T20" s="45"/>
      <c r="U20" s="55">
        <v>1.5</v>
      </c>
      <c r="V20" s="61"/>
      <c r="W20" s="61"/>
      <c r="X20" s="61"/>
      <c r="Y20" s="61"/>
      <c r="Z20" s="61"/>
      <c r="AA20" s="61"/>
      <c r="AB20" s="61"/>
      <c r="AC20" s="62"/>
      <c r="AD20" s="62"/>
      <c r="AE20" s="62"/>
      <c r="AF20" s="62"/>
      <c r="AG20" s="62"/>
      <c r="AH20" s="62"/>
      <c r="AI20" s="62"/>
      <c r="AJ20" s="62"/>
      <c r="AK20" s="62"/>
      <c r="AL20" s="62"/>
      <c r="AM20" s="62"/>
      <c r="AN20" s="62"/>
      <c r="AO20" s="62"/>
      <c r="AP20" s="62"/>
      <c r="AQ20" s="62"/>
      <c r="AR20" s="62"/>
      <c r="AS20" s="62"/>
      <c r="AT20" s="62"/>
      <c r="AU20" s="62"/>
      <c r="AV20" s="45"/>
      <c r="AW20" s="45">
        <v>2</v>
      </c>
      <c r="AX20" s="54">
        <v>1.5</v>
      </c>
      <c r="AY20" s="54">
        <v>1.5</v>
      </c>
      <c r="AZ20" s="67"/>
      <c r="BA20" s="67"/>
      <c r="BB20" s="67"/>
      <c r="BC20" s="45"/>
      <c r="BD20" s="45"/>
      <c r="BE20" s="45">
        <v>1</v>
      </c>
      <c r="BF20" s="45"/>
      <c r="BG20" s="45"/>
      <c r="BH20" s="45"/>
      <c r="BI20" s="45"/>
      <c r="BJ20" s="45"/>
      <c r="BK20" s="45"/>
      <c r="BL20" s="45"/>
      <c r="BM20" s="46">
        <v>1</v>
      </c>
      <c r="BN20" s="82"/>
      <c r="BO20" s="83"/>
      <c r="BP20" s="35"/>
      <c r="BQ20" s="35"/>
      <c r="BR20" s="35"/>
      <c r="BS20" s="35">
        <f>BE20</f>
        <v>1</v>
      </c>
      <c r="BT20" s="35"/>
      <c r="BU20" s="35"/>
      <c r="BV20" s="35"/>
      <c r="BW20" s="35"/>
      <c r="BX20" s="35"/>
      <c r="BY20" s="35"/>
      <c r="BZ20" s="35"/>
      <c r="CA20" s="35"/>
      <c r="CB20" s="35"/>
      <c r="CC20" s="35"/>
      <c r="CD20" s="35"/>
      <c r="CE20" s="35"/>
      <c r="CF20" s="35"/>
      <c r="CG20" s="35"/>
      <c r="CH20" s="35"/>
      <c r="CI20" s="35"/>
      <c r="CJ20" s="35"/>
      <c r="CK20" s="35"/>
      <c r="CL20" s="35"/>
      <c r="CM20" s="35"/>
      <c r="CN20" s="55"/>
      <c r="CO20" s="55"/>
      <c r="CP20" s="55"/>
      <c r="CQ20" s="55"/>
      <c r="CR20" s="55"/>
      <c r="CS20" s="55"/>
      <c r="CT20" s="55"/>
      <c r="CU20" s="55"/>
      <c r="CV20" s="55"/>
      <c r="CW20" s="72"/>
      <c r="CX20" s="63"/>
      <c r="CY20" s="63"/>
      <c r="CZ20" s="63"/>
      <c r="DA20" s="63"/>
      <c r="DB20" s="63"/>
      <c r="DC20" s="63"/>
      <c r="DD20" s="63"/>
      <c r="DE20" s="63"/>
      <c r="DF20" s="63"/>
      <c r="DG20" s="63"/>
      <c r="DH20" s="63"/>
      <c r="DI20" s="63"/>
      <c r="DJ20" s="63"/>
      <c r="DK20" s="63"/>
      <c r="DL20" s="63"/>
      <c r="DM20" s="63"/>
      <c r="DN20" s="63"/>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64"/>
      <c r="FE20" s="64"/>
      <c r="FF20" s="64"/>
      <c r="FG20" s="64"/>
      <c r="FH20" s="64"/>
      <c r="FI20" s="64"/>
      <c r="FJ20" s="64"/>
      <c r="FK20" s="64"/>
      <c r="FL20" s="64"/>
      <c r="FM20" s="64"/>
      <c r="FN20" s="64"/>
      <c r="FO20" s="64"/>
      <c r="FP20" s="64"/>
    </row>
    <row r="21" spans="1:172" s="65" customFormat="1" ht="34.5" customHeight="1">
      <c r="A21" s="71">
        <v>94</v>
      </c>
      <c r="B21" s="60" t="s">
        <v>151</v>
      </c>
      <c r="C21" s="44"/>
      <c r="D21" s="44"/>
      <c r="E21" s="44"/>
      <c r="F21" s="44"/>
      <c r="G21" s="44"/>
      <c r="H21" s="44"/>
      <c r="I21" s="44"/>
      <c r="J21" s="35"/>
      <c r="K21" s="35"/>
      <c r="L21" s="35"/>
      <c r="M21" s="35"/>
      <c r="N21" s="35"/>
      <c r="O21" s="35"/>
      <c r="P21" s="35"/>
      <c r="Q21" s="35"/>
      <c r="R21" s="35"/>
      <c r="S21" s="35"/>
      <c r="T21" s="45"/>
      <c r="U21" s="55">
        <v>1.5</v>
      </c>
      <c r="V21" s="61"/>
      <c r="W21" s="61"/>
      <c r="X21" s="61"/>
      <c r="Y21" s="61"/>
      <c r="Z21" s="61"/>
      <c r="AA21" s="61"/>
      <c r="AB21" s="61"/>
      <c r="AC21" s="62"/>
      <c r="AD21" s="62"/>
      <c r="AE21" s="62"/>
      <c r="AF21" s="62"/>
      <c r="AG21" s="62"/>
      <c r="AH21" s="62"/>
      <c r="AI21" s="62"/>
      <c r="AJ21" s="62"/>
      <c r="AK21" s="62"/>
      <c r="AL21" s="62"/>
      <c r="AM21" s="62"/>
      <c r="AN21" s="62"/>
      <c r="AO21" s="62"/>
      <c r="AP21" s="62"/>
      <c r="AQ21" s="62"/>
      <c r="AR21" s="62"/>
      <c r="AS21" s="62"/>
      <c r="AT21" s="62"/>
      <c r="AU21" s="62"/>
      <c r="AV21" s="45"/>
      <c r="AW21" s="45">
        <v>2</v>
      </c>
      <c r="AX21" s="54">
        <v>1.5</v>
      </c>
      <c r="AY21" s="54">
        <v>1.5</v>
      </c>
      <c r="AZ21" s="67"/>
      <c r="BA21" s="67"/>
      <c r="BB21" s="67"/>
      <c r="BC21" s="45"/>
      <c r="BD21" s="45"/>
      <c r="BE21" s="45">
        <v>1</v>
      </c>
      <c r="BF21" s="45"/>
      <c r="BG21" s="45"/>
      <c r="BH21" s="45"/>
      <c r="BI21" s="45"/>
      <c r="BJ21" s="45"/>
      <c r="BK21" s="45"/>
      <c r="BL21" s="45"/>
      <c r="BM21" s="46">
        <v>1</v>
      </c>
      <c r="BN21" s="82"/>
      <c r="BO21" s="83"/>
      <c r="BP21" s="35"/>
      <c r="BQ21" s="35"/>
      <c r="BR21" s="35"/>
      <c r="BS21" s="35">
        <f>BE21</f>
        <v>1</v>
      </c>
      <c r="BT21" s="35"/>
      <c r="BU21" s="35"/>
      <c r="BV21" s="35"/>
      <c r="BW21" s="35"/>
      <c r="BX21" s="35"/>
      <c r="BY21" s="35"/>
      <c r="BZ21" s="35"/>
      <c r="CA21" s="35"/>
      <c r="CB21" s="35"/>
      <c r="CC21" s="35"/>
      <c r="CD21" s="35"/>
      <c r="CE21" s="35"/>
      <c r="CF21" s="35"/>
      <c r="CG21" s="35"/>
      <c r="CH21" s="35"/>
      <c r="CI21" s="35"/>
      <c r="CJ21" s="35"/>
      <c r="CK21" s="35"/>
      <c r="CL21" s="35"/>
      <c r="CM21" s="35"/>
      <c r="CN21" s="55"/>
      <c r="CO21" s="55"/>
      <c r="CP21" s="55"/>
      <c r="CQ21" s="55"/>
      <c r="CR21" s="55"/>
      <c r="CS21" s="55"/>
      <c r="CT21" s="55"/>
      <c r="CU21" s="55"/>
      <c r="CV21" s="55"/>
      <c r="CW21" s="72"/>
      <c r="CX21" s="63"/>
      <c r="CY21" s="63"/>
      <c r="CZ21" s="63"/>
      <c r="DA21" s="63"/>
      <c r="DB21" s="63"/>
      <c r="DC21" s="63"/>
      <c r="DD21" s="63"/>
      <c r="DE21" s="63"/>
      <c r="DF21" s="63"/>
      <c r="DG21" s="63"/>
      <c r="DH21" s="63"/>
      <c r="DI21" s="63"/>
      <c r="DJ21" s="63"/>
      <c r="DK21" s="63"/>
      <c r="DL21" s="63"/>
      <c r="DM21" s="63"/>
      <c r="DN21" s="63"/>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row>
    <row r="22" spans="1:172" s="65" customFormat="1" ht="34.5" customHeight="1">
      <c r="A22" s="71">
        <v>95</v>
      </c>
      <c r="B22" s="60" t="s">
        <v>152</v>
      </c>
      <c r="C22" s="44"/>
      <c r="D22" s="44"/>
      <c r="E22" s="44"/>
      <c r="F22" s="44"/>
      <c r="G22" s="44"/>
      <c r="H22" s="44"/>
      <c r="I22" s="44"/>
      <c r="J22" s="35"/>
      <c r="K22" s="35"/>
      <c r="L22" s="35"/>
      <c r="M22" s="35"/>
      <c r="N22" s="35"/>
      <c r="O22" s="35"/>
      <c r="P22" s="35"/>
      <c r="Q22" s="35"/>
      <c r="R22" s="35"/>
      <c r="S22" s="35"/>
      <c r="T22" s="45"/>
      <c r="U22" s="55">
        <v>1.5</v>
      </c>
      <c r="V22" s="61"/>
      <c r="W22" s="61"/>
      <c r="X22" s="61"/>
      <c r="Y22" s="61"/>
      <c r="Z22" s="61"/>
      <c r="AA22" s="61"/>
      <c r="AB22" s="61"/>
      <c r="AC22" s="62"/>
      <c r="AD22" s="62"/>
      <c r="AE22" s="62"/>
      <c r="AF22" s="62"/>
      <c r="AG22" s="62"/>
      <c r="AH22" s="62"/>
      <c r="AI22" s="62"/>
      <c r="AJ22" s="62"/>
      <c r="AK22" s="62"/>
      <c r="AL22" s="62"/>
      <c r="AM22" s="62"/>
      <c r="AN22" s="62"/>
      <c r="AO22" s="62"/>
      <c r="AP22" s="62"/>
      <c r="AQ22" s="62"/>
      <c r="AR22" s="62"/>
      <c r="AS22" s="62"/>
      <c r="AT22" s="62"/>
      <c r="AU22" s="62"/>
      <c r="AV22" s="45"/>
      <c r="AW22" s="45">
        <v>2</v>
      </c>
      <c r="AX22" s="54">
        <v>1.5</v>
      </c>
      <c r="AY22" s="54">
        <v>1.5</v>
      </c>
      <c r="AZ22" s="67"/>
      <c r="BA22" s="67"/>
      <c r="BB22" s="67"/>
      <c r="BC22" s="45"/>
      <c r="BD22" s="45"/>
      <c r="BE22" s="45">
        <v>1</v>
      </c>
      <c r="BF22" s="45"/>
      <c r="BG22" s="45"/>
      <c r="BH22" s="45"/>
      <c r="BI22" s="45"/>
      <c r="BJ22" s="45"/>
      <c r="BK22" s="45"/>
      <c r="BL22" s="45"/>
      <c r="BM22" s="46">
        <v>1</v>
      </c>
      <c r="BN22" s="82"/>
      <c r="BO22" s="83"/>
      <c r="BP22" s="35"/>
      <c r="BQ22" s="35"/>
      <c r="BR22" s="35"/>
      <c r="BS22" s="35">
        <f>BE22</f>
        <v>1</v>
      </c>
      <c r="BT22" s="35"/>
      <c r="BU22" s="35"/>
      <c r="BV22" s="35"/>
      <c r="BW22" s="35"/>
      <c r="BX22" s="35"/>
      <c r="BY22" s="35"/>
      <c r="BZ22" s="35"/>
      <c r="CA22" s="35"/>
      <c r="CB22" s="35"/>
      <c r="CC22" s="35"/>
      <c r="CD22" s="35"/>
      <c r="CE22" s="35"/>
      <c r="CF22" s="35"/>
      <c r="CG22" s="35"/>
      <c r="CH22" s="35"/>
      <c r="CI22" s="35"/>
      <c r="CJ22" s="35"/>
      <c r="CK22" s="35"/>
      <c r="CL22" s="35"/>
      <c r="CM22" s="35"/>
      <c r="CN22" s="55"/>
      <c r="CO22" s="55"/>
      <c r="CP22" s="55"/>
      <c r="CQ22" s="55"/>
      <c r="CR22" s="55"/>
      <c r="CS22" s="55"/>
      <c r="CT22" s="55"/>
      <c r="CU22" s="55"/>
      <c r="CV22" s="55"/>
      <c r="CW22" s="72"/>
      <c r="CX22" s="63"/>
      <c r="CY22" s="63"/>
      <c r="CZ22" s="63"/>
      <c r="DA22" s="63"/>
      <c r="DB22" s="63"/>
      <c r="DC22" s="63"/>
      <c r="DD22" s="63"/>
      <c r="DE22" s="63"/>
      <c r="DF22" s="63"/>
      <c r="DG22" s="63"/>
      <c r="DH22" s="63"/>
      <c r="DI22" s="63"/>
      <c r="DJ22" s="63"/>
      <c r="DK22" s="63"/>
      <c r="DL22" s="63"/>
      <c r="DM22" s="63"/>
      <c r="DN22" s="63"/>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row>
    <row r="23" spans="1:172" s="65" customFormat="1" ht="34.5" customHeight="1">
      <c r="A23" s="71">
        <v>96</v>
      </c>
      <c r="B23" s="60" t="s">
        <v>153</v>
      </c>
      <c r="C23" s="44"/>
      <c r="D23" s="44"/>
      <c r="E23" s="44"/>
      <c r="F23" s="44"/>
      <c r="G23" s="44"/>
      <c r="H23" s="44"/>
      <c r="I23" s="44"/>
      <c r="J23" s="35"/>
      <c r="K23" s="35"/>
      <c r="L23" s="35"/>
      <c r="M23" s="35"/>
      <c r="N23" s="35"/>
      <c r="O23" s="35"/>
      <c r="P23" s="35"/>
      <c r="Q23" s="35"/>
      <c r="R23" s="35"/>
      <c r="S23" s="35"/>
      <c r="T23" s="45"/>
      <c r="U23" s="55"/>
      <c r="V23" s="61"/>
      <c r="W23" s="61"/>
      <c r="X23" s="61"/>
      <c r="Y23" s="61"/>
      <c r="Z23" s="61"/>
      <c r="AA23" s="61"/>
      <c r="AB23" s="61"/>
      <c r="AC23" s="62"/>
      <c r="AD23" s="62"/>
      <c r="AE23" s="62"/>
      <c r="AF23" s="62"/>
      <c r="AG23" s="62"/>
      <c r="AH23" s="62"/>
      <c r="AI23" s="62"/>
      <c r="AJ23" s="62"/>
      <c r="AK23" s="62"/>
      <c r="AL23" s="62"/>
      <c r="AM23" s="62"/>
      <c r="AN23" s="62"/>
      <c r="AO23" s="62"/>
      <c r="AP23" s="62"/>
      <c r="AQ23" s="62"/>
      <c r="AR23" s="62"/>
      <c r="AS23" s="62"/>
      <c r="AT23" s="62"/>
      <c r="AU23" s="62"/>
      <c r="AV23" s="45"/>
      <c r="AW23" s="45"/>
      <c r="AX23" s="54"/>
      <c r="AY23" s="54"/>
      <c r="AZ23" s="67"/>
      <c r="BA23" s="67"/>
      <c r="BB23" s="67"/>
      <c r="BC23" s="45"/>
      <c r="BD23" s="45"/>
      <c r="BE23" s="45">
        <v>1</v>
      </c>
      <c r="BF23" s="45"/>
      <c r="BG23" s="45"/>
      <c r="BH23" s="45"/>
      <c r="BI23" s="45"/>
      <c r="BJ23" s="45"/>
      <c r="BK23" s="45"/>
      <c r="BL23" s="45"/>
      <c r="BM23" s="46"/>
      <c r="BN23" s="82"/>
      <c r="BO23" s="83"/>
      <c r="BP23" s="35"/>
      <c r="BQ23" s="35"/>
      <c r="BR23" s="35"/>
      <c r="BS23" s="35">
        <f>BE23</f>
        <v>1</v>
      </c>
      <c r="BT23" s="35"/>
      <c r="BU23" s="35"/>
      <c r="BV23" s="35"/>
      <c r="BW23" s="35"/>
      <c r="BX23" s="35"/>
      <c r="BY23" s="35"/>
      <c r="BZ23" s="35"/>
      <c r="CA23" s="35"/>
      <c r="CB23" s="35"/>
      <c r="CC23" s="35"/>
      <c r="CD23" s="35"/>
      <c r="CE23" s="35"/>
      <c r="CF23" s="35"/>
      <c r="CG23" s="35"/>
      <c r="CH23" s="35"/>
      <c r="CI23" s="35"/>
      <c r="CJ23" s="35"/>
      <c r="CK23" s="35"/>
      <c r="CL23" s="35"/>
      <c r="CM23" s="35"/>
      <c r="CN23" s="55"/>
      <c r="CO23" s="55"/>
      <c r="CP23" s="55"/>
      <c r="CQ23" s="55"/>
      <c r="CR23" s="55"/>
      <c r="CS23" s="55"/>
      <c r="CT23" s="55"/>
      <c r="CU23" s="55"/>
      <c r="CV23" s="55"/>
      <c r="CW23" s="72"/>
      <c r="CX23" s="63"/>
      <c r="CY23" s="63"/>
      <c r="CZ23" s="63"/>
      <c r="DA23" s="63"/>
      <c r="DB23" s="63"/>
      <c r="DC23" s="63"/>
      <c r="DD23" s="63"/>
      <c r="DE23" s="63"/>
      <c r="DF23" s="63"/>
      <c r="DG23" s="63"/>
      <c r="DH23" s="63"/>
      <c r="DI23" s="63"/>
      <c r="DJ23" s="63"/>
      <c r="DK23" s="63"/>
      <c r="DL23" s="63"/>
      <c r="DM23" s="63"/>
      <c r="DN23" s="63"/>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row>
    <row r="24" spans="1:172" s="65" customFormat="1" ht="34.5" customHeight="1">
      <c r="A24" s="71">
        <v>97</v>
      </c>
      <c r="B24" s="60" t="s">
        <v>154</v>
      </c>
      <c r="C24" s="44"/>
      <c r="D24" s="44"/>
      <c r="E24" s="44"/>
      <c r="F24" s="44"/>
      <c r="G24" s="44"/>
      <c r="H24" s="44"/>
      <c r="I24" s="44"/>
      <c r="J24" s="35"/>
      <c r="K24" s="35"/>
      <c r="L24" s="35"/>
      <c r="M24" s="35"/>
      <c r="N24" s="35"/>
      <c r="O24" s="35"/>
      <c r="P24" s="35"/>
      <c r="Q24" s="35"/>
      <c r="R24" s="35"/>
      <c r="S24" s="35"/>
      <c r="T24" s="45"/>
      <c r="U24" s="55">
        <v>1.5</v>
      </c>
      <c r="V24" s="61"/>
      <c r="W24" s="61"/>
      <c r="X24" s="61"/>
      <c r="Y24" s="61"/>
      <c r="Z24" s="61"/>
      <c r="AA24" s="61"/>
      <c r="AB24" s="61"/>
      <c r="AC24" s="62"/>
      <c r="AD24" s="62"/>
      <c r="AE24" s="62"/>
      <c r="AF24" s="62"/>
      <c r="AG24" s="62"/>
      <c r="AH24" s="62"/>
      <c r="AI24" s="62"/>
      <c r="AJ24" s="62"/>
      <c r="AK24" s="62"/>
      <c r="AL24" s="62"/>
      <c r="AM24" s="62"/>
      <c r="AN24" s="62"/>
      <c r="AO24" s="62"/>
      <c r="AP24" s="62"/>
      <c r="AQ24" s="62"/>
      <c r="AR24" s="62"/>
      <c r="AS24" s="62"/>
      <c r="AT24" s="62"/>
      <c r="AU24" s="62"/>
      <c r="AV24" s="45"/>
      <c r="AW24" s="45">
        <v>2</v>
      </c>
      <c r="AX24" s="54">
        <v>1.5</v>
      </c>
      <c r="AY24" s="54">
        <v>1.5</v>
      </c>
      <c r="AZ24" s="67"/>
      <c r="BA24" s="67"/>
      <c r="BB24" s="67"/>
      <c r="BC24" s="45"/>
      <c r="BD24" s="45"/>
      <c r="BE24" s="45">
        <v>1</v>
      </c>
      <c r="BF24" s="45"/>
      <c r="BG24" s="45"/>
      <c r="BH24" s="45"/>
      <c r="BI24" s="45"/>
      <c r="BJ24" s="45"/>
      <c r="BK24" s="45"/>
      <c r="BL24" s="45"/>
      <c r="BM24" s="46">
        <v>1</v>
      </c>
      <c r="BN24" s="82"/>
      <c r="BO24" s="83"/>
      <c r="BP24" s="35"/>
      <c r="BQ24" s="35"/>
      <c r="BR24" s="35"/>
      <c r="BS24" s="35">
        <f>BE24</f>
        <v>1</v>
      </c>
      <c r="BT24" s="35"/>
      <c r="BU24" s="35"/>
      <c r="BV24" s="35"/>
      <c r="BW24" s="35"/>
      <c r="BX24" s="35"/>
      <c r="BY24" s="35"/>
      <c r="BZ24" s="35"/>
      <c r="CA24" s="35"/>
      <c r="CB24" s="35"/>
      <c r="CC24" s="35"/>
      <c r="CD24" s="35"/>
      <c r="CE24" s="35"/>
      <c r="CF24" s="35"/>
      <c r="CG24" s="35"/>
      <c r="CH24" s="35"/>
      <c r="CI24" s="35"/>
      <c r="CJ24" s="35"/>
      <c r="CK24" s="35"/>
      <c r="CL24" s="35"/>
      <c r="CM24" s="35"/>
      <c r="CN24" s="55"/>
      <c r="CO24" s="55"/>
      <c r="CP24" s="55"/>
      <c r="CQ24" s="55"/>
      <c r="CR24" s="55"/>
      <c r="CS24" s="55"/>
      <c r="CT24" s="55"/>
      <c r="CU24" s="55"/>
      <c r="CV24" s="55"/>
      <c r="CW24" s="72"/>
      <c r="CX24" s="63"/>
      <c r="CY24" s="63"/>
      <c r="CZ24" s="63"/>
      <c r="DA24" s="63"/>
      <c r="DB24" s="63"/>
      <c r="DC24" s="63"/>
      <c r="DD24" s="63"/>
      <c r="DE24" s="63"/>
      <c r="DF24" s="63"/>
      <c r="DG24" s="63"/>
      <c r="DH24" s="63"/>
      <c r="DI24" s="63"/>
      <c r="DJ24" s="63"/>
      <c r="DK24" s="63"/>
      <c r="DL24" s="63"/>
      <c r="DM24" s="63"/>
      <c r="DN24" s="63"/>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row>
    <row r="25" spans="1:172" s="65" customFormat="1" ht="34.5" customHeight="1">
      <c r="A25" s="71">
        <v>98</v>
      </c>
      <c r="B25" s="60" t="s">
        <v>155</v>
      </c>
      <c r="C25" s="44"/>
      <c r="D25" s="44"/>
      <c r="E25" s="44"/>
      <c r="F25" s="44"/>
      <c r="G25" s="44"/>
      <c r="H25" s="44"/>
      <c r="I25" s="44"/>
      <c r="J25" s="35"/>
      <c r="K25" s="35"/>
      <c r="L25" s="35"/>
      <c r="M25" s="35"/>
      <c r="N25" s="35"/>
      <c r="O25" s="35"/>
      <c r="P25" s="35"/>
      <c r="Q25" s="35"/>
      <c r="R25" s="35"/>
      <c r="S25" s="35"/>
      <c r="T25" s="45"/>
      <c r="U25" s="55">
        <v>1.5</v>
      </c>
      <c r="V25" s="61"/>
      <c r="W25" s="61"/>
      <c r="X25" s="61"/>
      <c r="Y25" s="61"/>
      <c r="Z25" s="61"/>
      <c r="AA25" s="61"/>
      <c r="AB25" s="61"/>
      <c r="AC25" s="62"/>
      <c r="AD25" s="62"/>
      <c r="AE25" s="62"/>
      <c r="AF25" s="62"/>
      <c r="AG25" s="62"/>
      <c r="AH25" s="62"/>
      <c r="AI25" s="62"/>
      <c r="AJ25" s="62"/>
      <c r="AK25" s="62"/>
      <c r="AL25" s="62"/>
      <c r="AM25" s="62"/>
      <c r="AN25" s="62"/>
      <c r="AO25" s="62"/>
      <c r="AP25" s="62"/>
      <c r="AQ25" s="62"/>
      <c r="AR25" s="62"/>
      <c r="AS25" s="62"/>
      <c r="AT25" s="62"/>
      <c r="AU25" s="62"/>
      <c r="AV25" s="45"/>
      <c r="AW25" s="45">
        <v>2</v>
      </c>
      <c r="AX25" s="54">
        <v>1.5</v>
      </c>
      <c r="AY25" s="54">
        <v>1.5</v>
      </c>
      <c r="AZ25" s="67"/>
      <c r="BA25" s="67"/>
      <c r="BB25" s="67"/>
      <c r="BC25" s="45"/>
      <c r="BD25" s="45"/>
      <c r="BE25" s="45"/>
      <c r="BF25" s="45"/>
      <c r="BG25" s="45"/>
      <c r="BH25" s="45"/>
      <c r="BI25" s="45">
        <v>1</v>
      </c>
      <c r="BJ25" s="45"/>
      <c r="BK25" s="45"/>
      <c r="BL25" s="45"/>
      <c r="BM25" s="46">
        <v>1</v>
      </c>
      <c r="BN25" s="82"/>
      <c r="BO25" s="83"/>
      <c r="BP25" s="35"/>
      <c r="BQ25" s="35"/>
      <c r="BR25" s="35"/>
      <c r="BS25" s="35"/>
      <c r="BT25" s="35"/>
      <c r="BU25" s="35"/>
      <c r="BV25" s="35"/>
      <c r="BW25" s="35">
        <f>BI25</f>
        <v>1</v>
      </c>
      <c r="BX25" s="35"/>
      <c r="BY25" s="35"/>
      <c r="BZ25" s="35"/>
      <c r="CA25" s="35"/>
      <c r="CB25" s="35"/>
      <c r="CC25" s="35"/>
      <c r="CD25" s="35"/>
      <c r="CE25" s="35"/>
      <c r="CF25" s="35"/>
      <c r="CG25" s="35"/>
      <c r="CH25" s="35"/>
      <c r="CI25" s="35"/>
      <c r="CJ25" s="35"/>
      <c r="CK25" s="35"/>
      <c r="CL25" s="35"/>
      <c r="CM25" s="35"/>
      <c r="CN25" s="55"/>
      <c r="CO25" s="55"/>
      <c r="CP25" s="55"/>
      <c r="CQ25" s="55"/>
      <c r="CR25" s="55"/>
      <c r="CS25" s="55"/>
      <c r="CT25" s="55"/>
      <c r="CU25" s="55"/>
      <c r="CV25" s="55"/>
      <c r="CW25" s="72"/>
      <c r="CX25" s="63"/>
      <c r="CY25" s="63"/>
      <c r="CZ25" s="63"/>
      <c r="DA25" s="63"/>
      <c r="DB25" s="63"/>
      <c r="DC25" s="63"/>
      <c r="DD25" s="63"/>
      <c r="DE25" s="63"/>
      <c r="DF25" s="63"/>
      <c r="DG25" s="63"/>
      <c r="DH25" s="63"/>
      <c r="DI25" s="63"/>
      <c r="DJ25" s="63"/>
      <c r="DK25" s="63"/>
      <c r="DL25" s="63"/>
      <c r="DM25" s="63"/>
      <c r="DN25" s="63"/>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row>
    <row r="26" spans="1:172" s="65" customFormat="1" ht="34.5" customHeight="1">
      <c r="A26" s="71">
        <v>99</v>
      </c>
      <c r="B26" s="60" t="s">
        <v>156</v>
      </c>
      <c r="C26" s="44"/>
      <c r="D26" s="44"/>
      <c r="E26" s="44"/>
      <c r="F26" s="44"/>
      <c r="G26" s="44"/>
      <c r="H26" s="44"/>
      <c r="I26" s="44"/>
      <c r="J26" s="35"/>
      <c r="K26" s="35"/>
      <c r="L26" s="35"/>
      <c r="M26" s="35"/>
      <c r="N26" s="35"/>
      <c r="O26" s="35"/>
      <c r="P26" s="35"/>
      <c r="Q26" s="35"/>
      <c r="R26" s="35"/>
      <c r="S26" s="35"/>
      <c r="T26" s="45"/>
      <c r="U26" s="55">
        <v>1.5</v>
      </c>
      <c r="V26" s="56"/>
      <c r="W26" s="56"/>
      <c r="X26" s="56"/>
      <c r="Y26" s="56"/>
      <c r="Z26" s="57"/>
      <c r="AA26" s="58"/>
      <c r="AB26" s="58"/>
      <c r="AC26" s="58"/>
      <c r="AD26" s="58"/>
      <c r="AE26" s="58"/>
      <c r="AF26" s="58"/>
      <c r="AG26" s="58"/>
      <c r="AH26" s="58"/>
      <c r="AI26" s="62"/>
      <c r="AJ26" s="62"/>
      <c r="AK26" s="62"/>
      <c r="AL26" s="62"/>
      <c r="AM26" s="62"/>
      <c r="AN26" s="62"/>
      <c r="AO26" s="62"/>
      <c r="AP26" s="62"/>
      <c r="AQ26" s="62"/>
      <c r="AR26" s="62"/>
      <c r="AS26" s="62"/>
      <c r="AT26" s="62"/>
      <c r="AU26" s="62"/>
      <c r="AV26" s="45"/>
      <c r="AW26" s="45">
        <v>2</v>
      </c>
      <c r="AX26" s="54">
        <v>1.5</v>
      </c>
      <c r="AY26" s="54">
        <v>1.5</v>
      </c>
      <c r="AZ26" s="67"/>
      <c r="BA26" s="67"/>
      <c r="BB26" s="67"/>
      <c r="BC26" s="45"/>
      <c r="BD26" s="45"/>
      <c r="BE26" s="45"/>
      <c r="BF26" s="45"/>
      <c r="BG26" s="45"/>
      <c r="BH26" s="45"/>
      <c r="BI26" s="45">
        <v>1</v>
      </c>
      <c r="BJ26" s="45"/>
      <c r="BK26" s="45"/>
      <c r="BL26" s="45"/>
      <c r="BM26" s="46">
        <v>1</v>
      </c>
      <c r="BN26" s="82"/>
      <c r="BO26" s="84"/>
      <c r="BP26" s="35"/>
      <c r="BQ26" s="35"/>
      <c r="BR26" s="35"/>
      <c r="BS26" s="35"/>
      <c r="BT26" s="35"/>
      <c r="BU26" s="35"/>
      <c r="BV26" s="35"/>
      <c r="BW26" s="35">
        <f>BI26</f>
        <v>1</v>
      </c>
      <c r="BX26" s="35"/>
      <c r="BY26" s="35"/>
      <c r="BZ26" s="35"/>
      <c r="CA26" s="35"/>
      <c r="CB26" s="35"/>
      <c r="CC26" s="35"/>
      <c r="CD26" s="35"/>
      <c r="CE26" s="35"/>
      <c r="CF26" s="35"/>
      <c r="CG26" s="35"/>
      <c r="CH26" s="35"/>
      <c r="CI26" s="35"/>
      <c r="CJ26" s="35"/>
      <c r="CK26" s="35"/>
      <c r="CL26" s="35"/>
      <c r="CM26" s="35"/>
      <c r="CN26" s="55"/>
      <c r="CO26" s="55"/>
      <c r="CP26" s="55"/>
      <c r="CQ26" s="55"/>
      <c r="CR26" s="55"/>
      <c r="CS26" s="55"/>
      <c r="CT26" s="55"/>
      <c r="CU26" s="55"/>
      <c r="CV26" s="55"/>
      <c r="CW26" s="72"/>
      <c r="CX26" s="63"/>
      <c r="CY26" s="63"/>
      <c r="CZ26" s="63"/>
      <c r="DA26" s="63"/>
      <c r="DB26" s="63"/>
      <c r="DC26" s="63"/>
      <c r="DD26" s="63"/>
      <c r="DE26" s="63"/>
      <c r="DF26" s="63"/>
      <c r="DG26" s="63"/>
      <c r="DH26" s="63"/>
      <c r="DI26" s="63"/>
      <c r="DJ26" s="63"/>
      <c r="DK26" s="63"/>
      <c r="DL26" s="63"/>
      <c r="DM26" s="63"/>
      <c r="DN26" s="63"/>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4"/>
      <c r="FG26" s="64"/>
      <c r="FH26" s="64"/>
      <c r="FI26" s="64"/>
      <c r="FJ26" s="64"/>
      <c r="FK26" s="64"/>
      <c r="FL26" s="64"/>
      <c r="FM26" s="64"/>
      <c r="FN26" s="64"/>
      <c r="FO26" s="64"/>
      <c r="FP26" s="64"/>
    </row>
    <row r="27" spans="1:172" s="104" customFormat="1" ht="36" customHeight="1" thickBot="1">
      <c r="A27" s="1033"/>
      <c r="B27" s="1034"/>
      <c r="C27" s="97"/>
      <c r="D27" s="98"/>
      <c r="E27" s="98"/>
      <c r="F27" s="98"/>
      <c r="G27" s="98"/>
      <c r="H27" s="98"/>
      <c r="I27" s="98"/>
      <c r="J27" s="99"/>
      <c r="K27" s="98"/>
      <c r="L27" s="98"/>
      <c r="M27" s="98"/>
      <c r="N27" s="98"/>
      <c r="O27" s="98"/>
      <c r="P27" s="98"/>
      <c r="Q27" s="98"/>
      <c r="R27" s="98"/>
      <c r="S27" s="98"/>
      <c r="T27" s="98"/>
      <c r="U27" s="99"/>
      <c r="V27" s="99"/>
      <c r="W27" s="99"/>
      <c r="X27" s="99"/>
      <c r="Y27" s="99"/>
      <c r="Z27" s="99"/>
      <c r="AA27" s="99"/>
      <c r="AB27" s="99"/>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100"/>
      <c r="BN27" s="101"/>
      <c r="BO27" s="97"/>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c r="CN27" s="99"/>
      <c r="CO27" s="99"/>
      <c r="CP27" s="99"/>
      <c r="CQ27" s="99"/>
      <c r="CR27" s="99"/>
      <c r="CS27" s="99"/>
      <c r="CT27" s="99"/>
      <c r="CU27" s="99"/>
      <c r="CV27" s="99"/>
      <c r="CW27" s="102"/>
      <c r="CX27" s="103"/>
      <c r="CY27" s="103"/>
      <c r="CZ27" s="103"/>
      <c r="DA27" s="103"/>
      <c r="DB27" s="103"/>
      <c r="DC27" s="103"/>
      <c r="DD27" s="103"/>
      <c r="DE27" s="103"/>
      <c r="DF27" s="103"/>
      <c r="DG27" s="103"/>
      <c r="DH27" s="103"/>
      <c r="DI27" s="103"/>
      <c r="DJ27" s="103"/>
      <c r="DK27" s="103"/>
      <c r="DL27" s="103"/>
      <c r="DM27" s="103"/>
      <c r="DN27" s="103"/>
    </row>
    <row r="28" spans="1:172" ht="23.1" customHeight="1" thickTop="1">
      <c r="A28" s="40"/>
    </row>
    <row r="29" spans="1:172" ht="23.1" customHeight="1">
      <c r="A29" s="40"/>
    </row>
    <row r="30" spans="1:172" ht="23.1" customHeight="1">
      <c r="A30" s="40"/>
    </row>
    <row r="31" spans="1:172" ht="23.1" customHeight="1">
      <c r="A31" s="40"/>
    </row>
    <row r="32" spans="1:172" ht="23.1" customHeight="1">
      <c r="A32" s="40"/>
    </row>
    <row r="33" spans="1:1" ht="23.1" customHeight="1">
      <c r="A33" s="40"/>
    </row>
    <row r="34" spans="1:1" ht="23.1" customHeight="1">
      <c r="A34" s="40"/>
    </row>
    <row r="35" spans="1:1" ht="23.1" customHeight="1">
      <c r="A35" s="40"/>
    </row>
    <row r="36" spans="1:1" ht="23.1" customHeight="1">
      <c r="A36" s="40"/>
    </row>
    <row r="37" spans="1:1" ht="23.1" customHeight="1">
      <c r="A37" s="40"/>
    </row>
    <row r="38" spans="1:1" ht="23.1" customHeight="1">
      <c r="A38" s="40"/>
    </row>
    <row r="39" spans="1:1" ht="23.1" customHeight="1">
      <c r="A39" s="40"/>
    </row>
    <row r="40" spans="1:1" ht="23.1" customHeight="1">
      <c r="A40" s="40"/>
    </row>
    <row r="41" spans="1:1" ht="23.1" customHeight="1">
      <c r="A41" s="40"/>
    </row>
    <row r="42" spans="1:1" ht="23.1" customHeight="1">
      <c r="A42" s="40"/>
    </row>
    <row r="43" spans="1:1" ht="23.1" customHeight="1">
      <c r="A43" s="40"/>
    </row>
    <row r="44" spans="1:1" ht="23.1" customHeight="1">
      <c r="A44" s="40"/>
    </row>
    <row r="45" spans="1:1" ht="23.1" customHeight="1">
      <c r="A45" s="40"/>
    </row>
    <row r="46" spans="1:1" ht="23.1" customHeight="1">
      <c r="A46" s="40"/>
    </row>
    <row r="47" spans="1:1" ht="23.1" customHeight="1">
      <c r="A47" s="40"/>
    </row>
    <row r="48" spans="1:1" ht="23.1" customHeight="1">
      <c r="A48" s="40"/>
    </row>
    <row r="49" spans="1:1" ht="23.1" customHeight="1">
      <c r="A49" s="40"/>
    </row>
    <row r="50" spans="1:1" ht="23.1" customHeight="1">
      <c r="A50" s="40"/>
    </row>
    <row r="51" spans="1:1" ht="23.1" customHeight="1">
      <c r="A51" s="40"/>
    </row>
    <row r="52" spans="1:1" ht="23.1" customHeight="1">
      <c r="A52" s="40"/>
    </row>
    <row r="53" spans="1:1" ht="23.1" customHeight="1">
      <c r="A53" s="40"/>
    </row>
    <row r="54" spans="1:1" ht="23.1" customHeight="1">
      <c r="A54" s="40"/>
    </row>
    <row r="55" spans="1:1" ht="23.1" customHeight="1">
      <c r="A55" s="40"/>
    </row>
    <row r="56" spans="1:1" ht="23.1" customHeight="1"/>
    <row r="57" spans="1:1" ht="23.1" customHeight="1"/>
    <row r="58" spans="1:1" ht="23.1" customHeight="1"/>
    <row r="59" spans="1:1" ht="23.1" customHeight="1"/>
    <row r="60" spans="1:1" ht="23.1" customHeight="1"/>
    <row r="61" spans="1:1" ht="23.1" customHeight="1"/>
    <row r="62" spans="1:1" ht="23.1" customHeight="1"/>
    <row r="63" spans="1:1" ht="23.1" customHeight="1"/>
    <row r="64" spans="1:1"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row r="76" ht="23.1" customHeight="1"/>
    <row r="77" ht="23.1" customHeight="1"/>
    <row r="78" ht="23.1" customHeight="1"/>
    <row r="79" ht="23.1" customHeight="1"/>
    <row r="80" ht="23.1" customHeight="1"/>
    <row r="81" ht="23.1" customHeight="1"/>
    <row r="82" ht="23.1" customHeight="1"/>
    <row r="83" ht="23.1" customHeight="1"/>
    <row r="84" ht="23.1" customHeight="1"/>
    <row r="85" ht="23.1" customHeight="1"/>
    <row r="86" ht="23.1" customHeight="1"/>
    <row r="87" ht="23.1" customHeight="1"/>
    <row r="88" ht="23.1" customHeight="1"/>
    <row r="89" ht="23.1" customHeight="1"/>
    <row r="90" ht="23.1" customHeight="1"/>
    <row r="91" ht="23.1" customHeight="1"/>
    <row r="92" ht="23.1" customHeight="1"/>
    <row r="93" ht="23.1" customHeight="1"/>
    <row r="94" ht="23.1" customHeight="1"/>
    <row r="95" ht="23.1" customHeight="1"/>
    <row r="96" ht="23.1" customHeight="1"/>
    <row r="97" ht="23.1" customHeight="1"/>
    <row r="98" ht="23.1" customHeight="1"/>
    <row r="99" ht="23.1" customHeight="1"/>
    <row r="100" ht="23.1" customHeight="1"/>
    <row r="101" ht="23.1" customHeight="1"/>
    <row r="102" ht="23.1" customHeight="1"/>
    <row r="103" ht="23.1" customHeight="1"/>
    <row r="104" ht="23.1" customHeight="1"/>
    <row r="105" ht="23.1" customHeight="1"/>
    <row r="106" ht="23.1" customHeight="1"/>
    <row r="107" ht="23.1" customHeight="1"/>
    <row r="108" ht="23.1" customHeight="1"/>
    <row r="109" ht="23.1" customHeight="1"/>
    <row r="110" ht="23.1" customHeight="1"/>
    <row r="111" ht="23.1" customHeight="1"/>
    <row r="112" ht="23.1" customHeight="1"/>
    <row r="113" ht="23.1" customHeight="1"/>
    <row r="114" ht="23.1" customHeight="1"/>
    <row r="115" ht="23.1" customHeight="1"/>
    <row r="116" ht="23.1" customHeight="1"/>
    <row r="117" ht="23.1" customHeight="1"/>
    <row r="118" ht="23.1" customHeight="1"/>
    <row r="119" ht="23.1" customHeight="1"/>
    <row r="120" ht="23.1" customHeight="1"/>
    <row r="121" ht="23.1" customHeight="1"/>
    <row r="122" ht="23.1" customHeight="1"/>
    <row r="123" ht="23.1" customHeight="1"/>
    <row r="124" ht="23.1" customHeight="1"/>
    <row r="125" ht="23.1" customHeight="1"/>
    <row r="126" ht="23.1" customHeight="1"/>
    <row r="127" ht="23.1" customHeight="1"/>
    <row r="128" ht="23.1" customHeight="1"/>
    <row r="129" ht="23.1" customHeight="1"/>
    <row r="130" ht="23.1" customHeight="1"/>
    <row r="131" ht="23.1" customHeight="1"/>
    <row r="132" ht="23.1" customHeight="1"/>
    <row r="133" ht="23.1" customHeight="1"/>
    <row r="134" ht="23.1" customHeight="1"/>
    <row r="135" ht="23.1" customHeight="1"/>
    <row r="136" ht="23.1" customHeight="1"/>
    <row r="137" ht="23.1" customHeight="1"/>
    <row r="138" ht="23.1" customHeight="1"/>
    <row r="139" ht="23.1" customHeight="1"/>
    <row r="140" ht="23.1" customHeight="1"/>
    <row r="141" ht="23.1" customHeight="1"/>
    <row r="142" ht="23.1" customHeight="1"/>
    <row r="143" ht="23.1" customHeight="1"/>
    <row r="144" ht="23.1" customHeight="1"/>
    <row r="145" ht="23.1" customHeight="1"/>
    <row r="146" ht="23.1" customHeight="1"/>
    <row r="147" ht="23.1" customHeight="1"/>
    <row r="148" ht="23.1" customHeight="1"/>
    <row r="149" ht="23.1" customHeight="1"/>
    <row r="150" ht="23.1" customHeight="1"/>
    <row r="151" ht="23.1" customHeight="1"/>
    <row r="152" ht="23.1" customHeight="1"/>
    <row r="153" ht="23.1" customHeight="1"/>
    <row r="154" ht="23.1" customHeight="1"/>
    <row r="155" ht="23.1" customHeight="1"/>
    <row r="156" ht="23.1" customHeight="1"/>
    <row r="157" ht="23.1" customHeight="1"/>
    <row r="158" ht="23.1" customHeight="1"/>
    <row r="159" ht="23.1" customHeight="1"/>
    <row r="160" ht="23.1" customHeight="1"/>
    <row r="161" ht="23.1" customHeight="1"/>
    <row r="162" ht="23.1" customHeight="1"/>
    <row r="163" ht="23.1" customHeight="1"/>
    <row r="164" ht="23.1" customHeight="1"/>
    <row r="165" ht="23.1" customHeight="1"/>
    <row r="166" ht="23.1" customHeight="1"/>
    <row r="167" ht="23.1" customHeight="1"/>
    <row r="168" ht="23.1" customHeight="1"/>
    <row r="169" ht="23.1" customHeight="1"/>
    <row r="170" ht="23.1" customHeight="1"/>
    <row r="171" ht="23.1" customHeight="1"/>
    <row r="172" ht="23.1" customHeight="1"/>
    <row r="173" ht="23.1" customHeight="1"/>
    <row r="174" ht="23.1" customHeight="1"/>
    <row r="175" ht="23.1" customHeight="1"/>
    <row r="176" ht="23.1" customHeight="1"/>
    <row r="177" ht="23.1" customHeight="1"/>
    <row r="178" ht="23.1" customHeight="1"/>
    <row r="179" ht="23.1" customHeight="1"/>
    <row r="180" ht="23.1" customHeight="1"/>
    <row r="181" ht="23.1" customHeight="1"/>
    <row r="182" ht="23.1" customHeight="1"/>
    <row r="183" ht="23.1" customHeight="1"/>
    <row r="184" ht="23.1" customHeight="1"/>
    <row r="185" ht="23.1" customHeight="1"/>
    <row r="186" ht="23.1" customHeight="1"/>
    <row r="187" ht="23.1" customHeight="1"/>
    <row r="188" ht="23.1" customHeight="1"/>
    <row r="189" ht="23.1" customHeight="1"/>
    <row r="190" ht="23.1" customHeight="1"/>
    <row r="191" ht="23.1" customHeight="1"/>
    <row r="192" ht="23.1" customHeight="1"/>
    <row r="193" ht="23.1" customHeight="1"/>
    <row r="194" ht="23.1" customHeight="1"/>
    <row r="195" ht="23.1" customHeight="1"/>
    <row r="196" ht="23.1" customHeight="1"/>
    <row r="197" ht="23.1" customHeight="1"/>
    <row r="198" ht="23.1" customHeight="1"/>
    <row r="199" ht="23.1" customHeight="1"/>
    <row r="200" ht="23.1" customHeight="1"/>
    <row r="201" ht="23.1" customHeight="1"/>
    <row r="202" ht="23.1" customHeight="1"/>
    <row r="203" ht="23.1" customHeight="1"/>
    <row r="204" ht="23.1" customHeight="1"/>
    <row r="205" ht="23.1" customHeight="1"/>
    <row r="206" ht="23.1" customHeight="1"/>
    <row r="207" ht="23.1" customHeight="1"/>
    <row r="208" ht="23.1" customHeight="1"/>
    <row r="209" ht="23.1" customHeight="1"/>
    <row r="210" ht="23.1" customHeight="1"/>
    <row r="211" ht="23.1" customHeight="1"/>
    <row r="212" ht="23.1" customHeight="1"/>
    <row r="213" ht="23.1" customHeight="1"/>
    <row r="214" ht="23.1" customHeight="1"/>
    <row r="215" ht="23.1" customHeight="1"/>
    <row r="216" ht="23.1" customHeight="1"/>
    <row r="217" ht="23.1" customHeight="1"/>
    <row r="218" ht="23.1" customHeight="1"/>
    <row r="219" ht="23.1" customHeight="1"/>
    <row r="220" ht="23.1" customHeight="1"/>
    <row r="221" ht="23.1" customHeight="1"/>
    <row r="222" ht="23.1" customHeight="1"/>
    <row r="223" ht="23.1" customHeight="1"/>
    <row r="224" ht="23.1" customHeight="1"/>
    <row r="225" ht="23.1" customHeight="1"/>
    <row r="226" ht="23.1" customHeight="1"/>
    <row r="227" ht="23.1" customHeight="1"/>
    <row r="228" ht="23.1" customHeight="1"/>
    <row r="229" ht="23.1" customHeight="1"/>
    <row r="230" ht="23.1" customHeight="1"/>
    <row r="231" ht="23.1" customHeight="1"/>
    <row r="232" ht="23.1" customHeight="1"/>
    <row r="233" ht="23.1" customHeight="1"/>
    <row r="234" ht="23.1" customHeight="1"/>
    <row r="235" ht="23.1" customHeight="1"/>
    <row r="236" ht="23.1" customHeight="1"/>
    <row r="237" ht="23.1" customHeight="1"/>
    <row r="238" ht="23.1" customHeight="1"/>
    <row r="239" ht="23.1" customHeight="1"/>
    <row r="240" ht="23.1" customHeight="1"/>
    <row r="241" ht="23.1" customHeight="1"/>
    <row r="242" ht="23.1" customHeight="1"/>
    <row r="243" ht="23.1" customHeight="1"/>
    <row r="244" ht="23.1" customHeight="1"/>
    <row r="245" ht="23.1" customHeight="1"/>
    <row r="246" ht="23.1" customHeight="1"/>
    <row r="247" ht="23.1" customHeight="1"/>
    <row r="248" ht="23.1" customHeight="1"/>
    <row r="249" ht="23.1" customHeight="1"/>
    <row r="250" ht="23.1" customHeight="1"/>
    <row r="251" ht="23.1" customHeight="1"/>
    <row r="252" ht="23.1" customHeight="1"/>
    <row r="253" ht="23.1" customHeight="1"/>
    <row r="254" ht="23.1" customHeight="1"/>
    <row r="255" ht="23.1" customHeight="1"/>
    <row r="256" ht="23.1" customHeight="1"/>
    <row r="257" ht="23.1" customHeight="1"/>
    <row r="258" ht="23.1" customHeight="1"/>
    <row r="259" ht="23.1" customHeight="1"/>
    <row r="260" ht="23.1" customHeight="1"/>
    <row r="261" ht="23.1" customHeight="1"/>
    <row r="262" ht="23.1" customHeight="1"/>
    <row r="263" ht="23.1" customHeight="1"/>
    <row r="264" ht="23.1" customHeight="1"/>
    <row r="265" ht="23.1" customHeight="1"/>
    <row r="266" ht="23.1" customHeight="1"/>
    <row r="267" ht="23.1" customHeight="1"/>
    <row r="268" ht="23.1" customHeight="1"/>
    <row r="269" ht="23.1" customHeight="1"/>
    <row r="270" ht="23.1" customHeight="1"/>
    <row r="271" ht="23.1" customHeight="1"/>
    <row r="272" ht="23.1" customHeight="1"/>
    <row r="273" ht="23.1" customHeight="1"/>
    <row r="274" ht="23.1" customHeight="1"/>
    <row r="275" ht="23.1" customHeight="1"/>
    <row r="276" ht="23.1" customHeight="1"/>
    <row r="277" ht="23.1" customHeight="1"/>
    <row r="278" ht="23.1" customHeight="1"/>
    <row r="279" ht="23.1" customHeight="1"/>
    <row r="280" ht="23.1" customHeight="1"/>
    <row r="281" ht="23.1" customHeight="1"/>
    <row r="282" ht="23.1" customHeight="1"/>
    <row r="283" ht="23.1" customHeight="1"/>
    <row r="284" ht="23.1" customHeight="1"/>
    <row r="285" ht="23.1" customHeight="1"/>
    <row r="286" ht="23.1" customHeight="1"/>
    <row r="287" ht="23.1" customHeight="1"/>
    <row r="288" ht="23.1" customHeight="1"/>
    <row r="289" ht="23.1" customHeight="1"/>
    <row r="290" ht="23.1" customHeight="1"/>
    <row r="291" ht="23.1" customHeight="1"/>
    <row r="292" ht="23.1" customHeight="1"/>
    <row r="293" ht="23.1" customHeight="1"/>
    <row r="294" ht="23.1" customHeight="1"/>
    <row r="295" ht="23.1" customHeight="1"/>
    <row r="296" ht="23.1" customHeight="1"/>
    <row r="297" ht="23.1" customHeight="1"/>
    <row r="298" ht="23.1" customHeight="1"/>
    <row r="299" ht="23.1" customHeight="1"/>
    <row r="300" ht="23.1" customHeight="1"/>
    <row r="301" ht="23.1" customHeight="1"/>
    <row r="302" ht="23.1" customHeight="1"/>
    <row r="303" ht="23.1" customHeight="1"/>
    <row r="304" ht="23.1" customHeight="1"/>
    <row r="305" ht="23.1" customHeight="1"/>
    <row r="306" ht="23.1" customHeight="1"/>
    <row r="307" ht="23.1" customHeight="1"/>
    <row r="308" ht="23.1" customHeight="1"/>
    <row r="309" ht="23.1" customHeight="1"/>
    <row r="310" ht="23.1" customHeight="1"/>
    <row r="311" ht="23.1" customHeight="1"/>
    <row r="312" ht="23.1" customHeight="1"/>
    <row r="313" ht="23.1" customHeight="1"/>
    <row r="314" ht="23.1" customHeight="1"/>
    <row r="315" ht="23.1" customHeight="1"/>
    <row r="316" ht="23.1" customHeight="1"/>
    <row r="317" ht="23.1" customHeight="1"/>
    <row r="318" ht="23.1" customHeight="1"/>
    <row r="319" ht="23.1" customHeight="1"/>
    <row r="320" ht="23.1" customHeight="1"/>
    <row r="321" ht="23.1" customHeight="1"/>
    <row r="322" ht="23.1" customHeight="1"/>
    <row r="323" ht="23.1" customHeight="1"/>
    <row r="324" ht="23.1" customHeight="1"/>
    <row r="325" ht="23.1" customHeight="1"/>
    <row r="326" ht="23.1" customHeight="1"/>
    <row r="327" ht="23.1" customHeight="1"/>
    <row r="328" ht="23.1" customHeight="1"/>
    <row r="329" ht="23.1" customHeight="1"/>
    <row r="330" ht="23.1" customHeight="1"/>
    <row r="331" ht="23.1" customHeight="1"/>
    <row r="332" ht="23.1" customHeight="1"/>
    <row r="333" ht="23.1" customHeight="1"/>
    <row r="334" ht="23.1" customHeight="1"/>
    <row r="335" ht="23.1" customHeight="1"/>
    <row r="336" ht="23.1" customHeight="1"/>
    <row r="337" ht="23.1" customHeight="1"/>
    <row r="338" ht="23.1" customHeight="1"/>
    <row r="339" ht="23.1" customHeight="1"/>
    <row r="340" ht="23.1" customHeight="1"/>
    <row r="341" ht="23.1" customHeight="1"/>
    <row r="342" ht="23.1" customHeight="1"/>
    <row r="343" ht="23.1" customHeight="1"/>
    <row r="344" ht="23.1" customHeight="1"/>
    <row r="345" ht="23.1" customHeight="1"/>
    <row r="346" ht="23.1" customHeight="1"/>
    <row r="347" ht="23.1" customHeight="1"/>
    <row r="348" ht="23.1" customHeight="1"/>
    <row r="349" ht="23.1" customHeight="1"/>
    <row r="350" ht="23.1" customHeight="1"/>
    <row r="351" ht="23.1" customHeight="1"/>
    <row r="352" ht="23.1" customHeight="1"/>
    <row r="353" ht="23.1" customHeight="1"/>
    <row r="354" ht="23.1" customHeight="1"/>
    <row r="355" ht="23.1" customHeight="1"/>
    <row r="356" ht="23.1" customHeight="1"/>
    <row r="357" ht="23.1" customHeight="1"/>
    <row r="358" ht="23.1" customHeight="1"/>
    <row r="359" ht="23.1" customHeight="1"/>
    <row r="360" ht="23.1" customHeight="1"/>
    <row r="361" ht="23.1" customHeight="1"/>
    <row r="362" ht="23.1" customHeight="1"/>
    <row r="363" ht="23.1" customHeight="1"/>
    <row r="364" ht="23.1" customHeight="1"/>
    <row r="365" ht="23.1" customHeight="1"/>
    <row r="366" ht="23.1" customHeight="1"/>
    <row r="367" ht="23.1" customHeight="1"/>
    <row r="368" ht="23.1" customHeight="1"/>
    <row r="369" ht="23.1" customHeight="1"/>
    <row r="370" ht="23.1" customHeight="1"/>
    <row r="371" ht="23.1" customHeight="1"/>
    <row r="372" ht="23.1" customHeight="1"/>
    <row r="373" ht="23.1" customHeight="1"/>
    <row r="374" ht="23.1" customHeight="1"/>
    <row r="375" ht="23.1" customHeight="1"/>
    <row r="376" ht="23.1" customHeight="1"/>
    <row r="377" ht="23.1" customHeight="1"/>
    <row r="378" ht="23.1" customHeight="1"/>
    <row r="379" ht="23.1" customHeight="1"/>
    <row r="380" ht="23.1" customHeight="1"/>
    <row r="381" ht="23.1" customHeight="1"/>
    <row r="382" ht="23.1" customHeight="1"/>
    <row r="383" ht="23.1" customHeight="1"/>
    <row r="384" ht="23.1" customHeight="1"/>
    <row r="385" ht="23.1" customHeight="1"/>
    <row r="386" ht="23.1" customHeight="1"/>
    <row r="387" ht="23.1" customHeight="1"/>
    <row r="388" ht="23.1" customHeight="1"/>
    <row r="389" ht="23.1" customHeight="1"/>
    <row r="390" ht="23.1" customHeight="1"/>
    <row r="391" ht="23.1" customHeight="1"/>
    <row r="392" ht="23.1" customHeight="1"/>
    <row r="393" ht="23.1" customHeight="1"/>
    <row r="394" ht="23.1" customHeight="1"/>
    <row r="395" ht="23.1" customHeight="1"/>
    <row r="396" ht="23.1" customHeight="1"/>
    <row r="397" ht="23.1" customHeight="1"/>
    <row r="398" ht="23.1" customHeight="1"/>
    <row r="399" ht="23.1" customHeight="1"/>
    <row r="400" ht="23.1" customHeight="1"/>
    <row r="401" ht="23.1" customHeight="1"/>
    <row r="402" ht="23.1" customHeight="1"/>
    <row r="403" ht="23.1" customHeight="1"/>
    <row r="404" ht="23.1" customHeight="1"/>
    <row r="405" ht="23.1" customHeight="1"/>
    <row r="406" ht="23.1" customHeight="1"/>
    <row r="407" ht="23.1" customHeight="1"/>
    <row r="408" ht="23.1" customHeight="1"/>
    <row r="409" ht="23.1" customHeight="1"/>
    <row r="410" ht="23.1" customHeight="1"/>
    <row r="411" ht="23.1" customHeight="1"/>
    <row r="412" ht="23.1" customHeight="1"/>
    <row r="413" ht="23.1" customHeight="1"/>
    <row r="414" ht="23.1" customHeight="1"/>
    <row r="415" ht="23.1" customHeight="1"/>
    <row r="416" ht="23.1" customHeight="1"/>
    <row r="417" ht="23.1" customHeight="1"/>
    <row r="418" ht="23.1" customHeight="1"/>
    <row r="419" ht="23.1" customHeight="1"/>
    <row r="420" ht="23.1" customHeight="1"/>
    <row r="421" ht="23.1" customHeight="1"/>
    <row r="422" ht="23.1" customHeight="1"/>
    <row r="423" ht="23.1" customHeight="1"/>
    <row r="424" ht="23.1" customHeight="1"/>
    <row r="425" ht="23.1" customHeight="1"/>
    <row r="426" ht="23.1" customHeight="1"/>
    <row r="427" ht="23.1" customHeight="1"/>
    <row r="428" ht="23.1" customHeight="1"/>
    <row r="429" ht="23.1" customHeight="1"/>
    <row r="430" ht="23.1" customHeight="1"/>
    <row r="431" ht="23.1" customHeight="1"/>
    <row r="432" ht="23.1" customHeight="1"/>
    <row r="433" ht="23.1" customHeight="1"/>
    <row r="434" ht="23.1" customHeight="1"/>
    <row r="435" ht="23.1" customHeight="1"/>
    <row r="436" ht="23.1" customHeight="1"/>
    <row r="437" ht="23.1" customHeight="1"/>
    <row r="438" ht="23.1" customHeight="1"/>
    <row r="439" ht="23.1" customHeight="1"/>
    <row r="440" ht="23.1" customHeight="1"/>
    <row r="441" ht="23.1" customHeight="1"/>
    <row r="442" ht="23.1" customHeight="1"/>
    <row r="443" ht="23.1" customHeight="1"/>
    <row r="444" ht="23.1" customHeight="1"/>
    <row r="445" ht="23.1" customHeight="1"/>
    <row r="446" ht="23.1" customHeight="1"/>
    <row r="447" ht="23.1" customHeight="1"/>
    <row r="448" ht="23.1" customHeight="1"/>
    <row r="449" ht="23.1" customHeight="1"/>
    <row r="450" ht="23.1" customHeight="1"/>
    <row r="451" ht="23.1" customHeight="1"/>
    <row r="452" ht="23.1" customHeight="1"/>
    <row r="453" ht="23.1" customHeight="1"/>
    <row r="454" ht="23.1" customHeight="1"/>
    <row r="455" ht="23.1" customHeight="1"/>
    <row r="456" ht="23.1" customHeight="1"/>
    <row r="457" ht="23.1" customHeight="1"/>
    <row r="458" ht="23.1" customHeight="1"/>
    <row r="459" ht="23.1" customHeight="1"/>
    <row r="460" ht="23.1" customHeight="1"/>
    <row r="461" ht="23.1" customHeight="1"/>
  </sheetData>
  <mergeCells count="10">
    <mergeCell ref="B2:BM2"/>
    <mergeCell ref="B4:BM4"/>
    <mergeCell ref="CW6:CW7"/>
    <mergeCell ref="A27:B27"/>
    <mergeCell ref="A6:A7"/>
    <mergeCell ref="B6:B7"/>
    <mergeCell ref="B5:CV5"/>
    <mergeCell ref="BN6:CV6"/>
    <mergeCell ref="C6:BM6"/>
    <mergeCell ref="B3:BM3"/>
  </mergeCells>
  <phoneticPr fontId="16" type="noConversion"/>
  <printOptions horizontalCentered="1"/>
  <pageMargins left="0.31496062992126" right="0.25" top="0.55118110236220497" bottom="0.39370078740157499" header="0.118110236220472" footer="0.31496062992126"/>
  <pageSetup paperSize="9" scale="60" orientation="landscape" horizontalDpi="180" verticalDpi="180" r:id="rId1"/>
  <headerFooter alignWithMargins="0">
    <oddFooter>&amp;C&amp;14&amp;P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4"/>
  </sheetPr>
  <dimension ref="A1:AA70"/>
  <sheetViews>
    <sheetView zoomScale="85" zoomScaleNormal="85" workbookViewId="0">
      <pane ySplit="4" topLeftCell="A68" activePane="bottomLeft" state="frozen"/>
      <selection pane="bottomLeft" activeCell="F70" sqref="F70"/>
    </sheetView>
  </sheetViews>
  <sheetFormatPr defaultColWidth="8.83203125" defaultRowHeight="12.75"/>
  <cols>
    <col min="1" max="1" width="5.83203125" style="128" customWidth="1"/>
    <col min="2" max="2" width="29.83203125" style="128" customWidth="1"/>
    <col min="3" max="19" width="5.33203125" style="128" customWidth="1"/>
    <col min="20" max="20" width="18.83203125" style="128" customWidth="1"/>
    <col min="21" max="26" width="8.83203125" style="128"/>
    <col min="27" max="27" width="0" style="128" hidden="1" customWidth="1"/>
    <col min="28" max="16384" width="8.83203125" style="128"/>
  </cols>
  <sheetData>
    <row r="1" spans="1:27" ht="25.15" customHeight="1">
      <c r="A1" s="1009" t="s">
        <v>498</v>
      </c>
      <c r="B1" s="1009"/>
      <c r="C1" s="1009"/>
      <c r="D1" s="1009"/>
      <c r="E1" s="1009"/>
      <c r="F1" s="1009"/>
      <c r="G1" s="1009"/>
      <c r="H1" s="1009"/>
      <c r="I1" s="1009"/>
      <c r="J1" s="1009"/>
      <c r="K1" s="1009"/>
      <c r="L1" s="1009"/>
      <c r="M1" s="1009"/>
      <c r="N1" s="1009"/>
      <c r="O1" s="1009"/>
      <c r="P1" s="1009"/>
      <c r="Q1" s="1009"/>
      <c r="R1" s="1009"/>
      <c r="S1" s="1009"/>
      <c r="T1" s="1009"/>
      <c r="U1" s="127"/>
      <c r="V1" s="127"/>
    </row>
    <row r="2" spans="1:27" ht="27.6" customHeight="1">
      <c r="A2" s="1043" t="s">
        <v>1031</v>
      </c>
      <c r="B2" s="1043"/>
      <c r="C2" s="1043"/>
      <c r="D2" s="1043"/>
      <c r="E2" s="1043"/>
      <c r="F2" s="1043"/>
      <c r="G2" s="1043"/>
      <c r="H2" s="1043"/>
      <c r="I2" s="1043"/>
      <c r="J2" s="1043"/>
      <c r="K2" s="1043"/>
      <c r="L2" s="1043"/>
      <c r="M2" s="1043"/>
      <c r="N2" s="1043"/>
      <c r="O2" s="1043"/>
      <c r="P2" s="1043"/>
      <c r="Q2" s="1043"/>
      <c r="R2" s="1043"/>
      <c r="S2" s="1043"/>
      <c r="T2" s="1043"/>
      <c r="U2" s="127"/>
      <c r="V2" s="127"/>
    </row>
    <row r="3" spans="1:27" s="127" customFormat="1" ht="24" customHeight="1">
      <c r="A3" s="1012" t="s">
        <v>22</v>
      </c>
      <c r="B3" s="1012" t="s">
        <v>267</v>
      </c>
      <c r="C3" s="1019" t="s">
        <v>556</v>
      </c>
      <c r="D3" s="1021"/>
      <c r="E3" s="1021"/>
      <c r="F3" s="1021"/>
      <c r="G3" s="1021"/>
      <c r="H3" s="1021"/>
      <c r="I3" s="1021"/>
      <c r="J3" s="1021"/>
      <c r="K3" s="1021"/>
      <c r="L3" s="1022"/>
      <c r="M3" s="1019" t="s">
        <v>557</v>
      </c>
      <c r="N3" s="1021"/>
      <c r="O3" s="1021"/>
      <c r="P3" s="1021"/>
      <c r="Q3" s="1021"/>
      <c r="R3" s="1021"/>
      <c r="S3" s="1022"/>
      <c r="T3" s="1044" t="s">
        <v>258</v>
      </c>
      <c r="U3" s="122"/>
      <c r="V3" s="122"/>
    </row>
    <row r="4" spans="1:27" s="127" customFormat="1" ht="210" customHeight="1">
      <c r="A4" s="1013"/>
      <c r="B4" s="1013"/>
      <c r="C4" s="129" t="s">
        <v>1148</v>
      </c>
      <c r="D4" s="129" t="s">
        <v>878</v>
      </c>
      <c r="E4" s="129" t="s">
        <v>880</v>
      </c>
      <c r="F4" s="129" t="s">
        <v>1008</v>
      </c>
      <c r="G4" s="129" t="s">
        <v>877</v>
      </c>
      <c r="H4" s="129" t="s">
        <v>879</v>
      </c>
      <c r="I4" s="129" t="s">
        <v>881</v>
      </c>
      <c r="J4" s="129" t="s">
        <v>882</v>
      </c>
      <c r="K4" s="129" t="s">
        <v>883</v>
      </c>
      <c r="L4" s="129" t="s">
        <v>884</v>
      </c>
      <c r="M4" s="129" t="s">
        <v>1148</v>
      </c>
      <c r="N4" s="129" t="s">
        <v>1008</v>
      </c>
      <c r="O4" s="129" t="s">
        <v>877</v>
      </c>
      <c r="P4" s="129" t="s">
        <v>881</v>
      </c>
      <c r="Q4" s="129" t="s">
        <v>941</v>
      </c>
      <c r="R4" s="129" t="s">
        <v>942</v>
      </c>
      <c r="S4" s="129" t="s">
        <v>1022</v>
      </c>
      <c r="T4" s="1044"/>
      <c r="U4" s="123"/>
      <c r="V4" s="123"/>
    </row>
    <row r="5" spans="1:27" s="127" customFormat="1" ht="24.6" customHeight="1">
      <c r="A5" s="130">
        <v>1</v>
      </c>
      <c r="B5" s="134" t="s">
        <v>885</v>
      </c>
      <c r="C5" s="135"/>
      <c r="D5" s="135"/>
      <c r="E5" s="135"/>
      <c r="F5" s="135"/>
      <c r="G5" s="135"/>
      <c r="H5" s="135"/>
      <c r="I5" s="135"/>
      <c r="J5" s="135">
        <v>5</v>
      </c>
      <c r="K5" s="135"/>
      <c r="L5" s="135"/>
      <c r="M5" s="135"/>
      <c r="N5" s="135"/>
      <c r="O5" s="135"/>
      <c r="P5" s="135"/>
      <c r="Q5" s="135">
        <v>5</v>
      </c>
      <c r="R5" s="135"/>
      <c r="S5" s="135"/>
      <c r="T5" s="436"/>
      <c r="U5" s="133"/>
      <c r="V5" s="132"/>
      <c r="AA5" s="131" t="s">
        <v>543</v>
      </c>
    </row>
    <row r="6" spans="1:27" s="127" customFormat="1" ht="24.6" customHeight="1">
      <c r="A6" s="130">
        <v>2</v>
      </c>
      <c r="B6" s="134" t="s">
        <v>886</v>
      </c>
      <c r="C6" s="135"/>
      <c r="D6" s="135"/>
      <c r="E6" s="135"/>
      <c r="F6" s="135"/>
      <c r="G6" s="135"/>
      <c r="H6" s="135"/>
      <c r="I6" s="135">
        <v>1</v>
      </c>
      <c r="J6" s="135">
        <v>5</v>
      </c>
      <c r="K6" s="135">
        <v>4</v>
      </c>
      <c r="L6" s="135"/>
      <c r="M6" s="135"/>
      <c r="N6" s="135"/>
      <c r="O6" s="135"/>
      <c r="P6" s="135">
        <v>1</v>
      </c>
      <c r="Q6" s="135">
        <v>5</v>
      </c>
      <c r="R6" s="135">
        <v>4</v>
      </c>
      <c r="S6" s="135"/>
      <c r="T6" s="436"/>
      <c r="U6" s="133"/>
      <c r="V6" s="132"/>
      <c r="AA6" s="131" t="s">
        <v>544</v>
      </c>
    </row>
    <row r="7" spans="1:27" s="127" customFormat="1" ht="24.6" customHeight="1">
      <c r="A7" s="130">
        <v>3</v>
      </c>
      <c r="B7" s="134" t="s">
        <v>887</v>
      </c>
      <c r="C7" s="135"/>
      <c r="D7" s="135"/>
      <c r="E7" s="135"/>
      <c r="F7" s="135"/>
      <c r="G7" s="135"/>
      <c r="H7" s="135"/>
      <c r="I7" s="135"/>
      <c r="J7" s="135">
        <v>4</v>
      </c>
      <c r="K7" s="135"/>
      <c r="L7" s="135"/>
      <c r="M7" s="135"/>
      <c r="N7" s="135"/>
      <c r="O7" s="135"/>
      <c r="P7" s="135"/>
      <c r="Q7" s="135">
        <v>4</v>
      </c>
      <c r="R7" s="135"/>
      <c r="S7" s="135"/>
      <c r="T7" s="436"/>
      <c r="U7" s="133"/>
      <c r="V7" s="132"/>
      <c r="AA7" s="131" t="s">
        <v>543</v>
      </c>
    </row>
    <row r="8" spans="1:27" s="127" customFormat="1" ht="24.6" customHeight="1">
      <c r="A8" s="130">
        <v>4</v>
      </c>
      <c r="B8" s="134" t="s">
        <v>888</v>
      </c>
      <c r="C8" s="135"/>
      <c r="D8" s="135"/>
      <c r="E8" s="135"/>
      <c r="F8" s="135"/>
      <c r="G8" s="135"/>
      <c r="H8" s="135"/>
      <c r="I8" s="135">
        <v>3</v>
      </c>
      <c r="J8" s="135">
        <v>4</v>
      </c>
      <c r="K8" s="135">
        <v>2</v>
      </c>
      <c r="L8" s="135">
        <v>8</v>
      </c>
      <c r="M8" s="135"/>
      <c r="N8" s="135"/>
      <c r="O8" s="135"/>
      <c r="P8" s="135">
        <v>3</v>
      </c>
      <c r="Q8" s="135">
        <v>4</v>
      </c>
      <c r="R8" s="135">
        <v>2</v>
      </c>
      <c r="S8" s="135">
        <v>8</v>
      </c>
      <c r="T8" s="436"/>
      <c r="U8" s="133"/>
      <c r="V8" s="132"/>
      <c r="AA8" s="131" t="s">
        <v>543</v>
      </c>
    </row>
    <row r="9" spans="1:27" s="127" customFormat="1" ht="24.6" customHeight="1">
      <c r="A9" s="130">
        <v>5</v>
      </c>
      <c r="B9" s="134" t="s">
        <v>889</v>
      </c>
      <c r="C9" s="135"/>
      <c r="D9" s="135"/>
      <c r="E9" s="135"/>
      <c r="F9" s="135"/>
      <c r="G9" s="135"/>
      <c r="H9" s="135"/>
      <c r="I9" s="135"/>
      <c r="J9" s="135">
        <v>4</v>
      </c>
      <c r="K9" s="135"/>
      <c r="L9" s="135"/>
      <c r="M9" s="135"/>
      <c r="N9" s="135"/>
      <c r="O9" s="135"/>
      <c r="P9" s="135"/>
      <c r="Q9" s="135">
        <v>4</v>
      </c>
      <c r="R9" s="135"/>
      <c r="S9" s="135"/>
      <c r="T9" s="436"/>
      <c r="U9" s="133"/>
      <c r="V9" s="132"/>
      <c r="AA9" s="131" t="s">
        <v>545</v>
      </c>
    </row>
    <row r="10" spans="1:27" s="127" customFormat="1" ht="24.6" customHeight="1">
      <c r="A10" s="130">
        <v>6</v>
      </c>
      <c r="B10" s="134" t="s">
        <v>890</v>
      </c>
      <c r="C10" s="135"/>
      <c r="D10" s="135"/>
      <c r="E10" s="135"/>
      <c r="F10" s="135"/>
      <c r="G10" s="135"/>
      <c r="H10" s="135"/>
      <c r="I10" s="135"/>
      <c r="J10" s="135">
        <v>2</v>
      </c>
      <c r="K10" s="135"/>
      <c r="L10" s="135">
        <v>2</v>
      </c>
      <c r="M10" s="135"/>
      <c r="N10" s="135"/>
      <c r="O10" s="135"/>
      <c r="P10" s="135"/>
      <c r="Q10" s="135">
        <v>2</v>
      </c>
      <c r="R10" s="135"/>
      <c r="S10" s="135">
        <v>2</v>
      </c>
      <c r="T10" s="436"/>
      <c r="U10" s="133"/>
      <c r="V10" s="132"/>
      <c r="AA10" s="131" t="s">
        <v>543</v>
      </c>
    </row>
    <row r="11" spans="1:27" s="127" customFormat="1" ht="24.6" customHeight="1">
      <c r="A11" s="130">
        <v>7</v>
      </c>
      <c r="B11" s="134" t="s">
        <v>891</v>
      </c>
      <c r="C11" s="135"/>
      <c r="D11" s="135"/>
      <c r="E11" s="135"/>
      <c r="F11" s="135"/>
      <c r="G11" s="135"/>
      <c r="H11" s="135"/>
      <c r="I11" s="135">
        <v>2</v>
      </c>
      <c r="J11" s="135">
        <v>7</v>
      </c>
      <c r="K11" s="135"/>
      <c r="L11" s="135"/>
      <c r="M11" s="135"/>
      <c r="N11" s="135"/>
      <c r="O11" s="135"/>
      <c r="P11" s="135">
        <v>2</v>
      </c>
      <c r="Q11" s="135">
        <v>7</v>
      </c>
      <c r="R11" s="135"/>
      <c r="S11" s="135"/>
      <c r="T11" s="436"/>
      <c r="U11" s="133"/>
      <c r="V11" s="132"/>
      <c r="AA11" s="131" t="s">
        <v>543</v>
      </c>
    </row>
    <row r="12" spans="1:27" s="127" customFormat="1" ht="24.6" customHeight="1">
      <c r="A12" s="130">
        <v>8</v>
      </c>
      <c r="B12" s="134" t="s">
        <v>892</v>
      </c>
      <c r="C12" s="135"/>
      <c r="D12" s="135"/>
      <c r="E12" s="135"/>
      <c r="F12" s="135"/>
      <c r="G12" s="135"/>
      <c r="H12" s="135"/>
      <c r="I12" s="135"/>
      <c r="J12" s="135">
        <v>5</v>
      </c>
      <c r="K12" s="135"/>
      <c r="L12" s="135"/>
      <c r="M12" s="135"/>
      <c r="N12" s="135"/>
      <c r="O12" s="135"/>
      <c r="P12" s="135"/>
      <c r="Q12" s="135">
        <v>5</v>
      </c>
      <c r="R12" s="135"/>
      <c r="S12" s="135"/>
      <c r="T12" s="436"/>
      <c r="U12" s="133"/>
      <c r="V12" s="132"/>
      <c r="AA12" s="131" t="s">
        <v>546</v>
      </c>
    </row>
    <row r="13" spans="1:27" s="127" customFormat="1" ht="24.6" customHeight="1">
      <c r="A13" s="130">
        <v>9</v>
      </c>
      <c r="B13" s="134" t="s">
        <v>893</v>
      </c>
      <c r="C13" s="135"/>
      <c r="D13" s="135"/>
      <c r="E13" s="135"/>
      <c r="F13" s="135"/>
      <c r="G13" s="135"/>
      <c r="H13" s="135"/>
      <c r="I13" s="135">
        <v>2</v>
      </c>
      <c r="J13" s="135">
        <v>5</v>
      </c>
      <c r="K13" s="135"/>
      <c r="L13" s="135">
        <v>8</v>
      </c>
      <c r="M13" s="135"/>
      <c r="N13" s="135"/>
      <c r="O13" s="135"/>
      <c r="P13" s="135">
        <v>2</v>
      </c>
      <c r="Q13" s="135">
        <v>5</v>
      </c>
      <c r="R13" s="135"/>
      <c r="S13" s="135">
        <v>8</v>
      </c>
      <c r="T13" s="436"/>
      <c r="U13" s="133"/>
      <c r="V13" s="132"/>
      <c r="AA13" s="131" t="s">
        <v>546</v>
      </c>
    </row>
    <row r="14" spans="1:27" s="127" customFormat="1" ht="24.6" customHeight="1">
      <c r="A14" s="130">
        <v>10</v>
      </c>
      <c r="B14" s="134" t="s">
        <v>894</v>
      </c>
      <c r="C14" s="135"/>
      <c r="D14" s="135"/>
      <c r="E14" s="135"/>
      <c r="F14" s="135"/>
      <c r="G14" s="135"/>
      <c r="H14" s="135"/>
      <c r="I14" s="135"/>
      <c r="J14" s="135">
        <v>6</v>
      </c>
      <c r="K14" s="135"/>
      <c r="L14" s="135"/>
      <c r="M14" s="135"/>
      <c r="N14" s="135"/>
      <c r="O14" s="135"/>
      <c r="P14" s="135"/>
      <c r="Q14" s="135">
        <v>6</v>
      </c>
      <c r="R14" s="135"/>
      <c r="S14" s="135"/>
      <c r="T14" s="436"/>
      <c r="U14" s="133"/>
      <c r="V14" s="132"/>
      <c r="AA14" s="131" t="s">
        <v>547</v>
      </c>
    </row>
    <row r="15" spans="1:27" s="127" customFormat="1" ht="24.6" customHeight="1">
      <c r="A15" s="130">
        <v>11</v>
      </c>
      <c r="B15" s="134" t="s">
        <v>895</v>
      </c>
      <c r="C15" s="135"/>
      <c r="D15" s="135"/>
      <c r="E15" s="135"/>
      <c r="F15" s="135"/>
      <c r="G15" s="135"/>
      <c r="H15" s="135"/>
      <c r="I15" s="135"/>
      <c r="J15" s="135">
        <v>2</v>
      </c>
      <c r="K15" s="135">
        <v>6</v>
      </c>
      <c r="L15" s="135">
        <v>14</v>
      </c>
      <c r="M15" s="135"/>
      <c r="N15" s="135"/>
      <c r="O15" s="135"/>
      <c r="P15" s="135"/>
      <c r="Q15" s="135">
        <v>2</v>
      </c>
      <c r="R15" s="135">
        <v>6</v>
      </c>
      <c r="S15" s="135">
        <v>14</v>
      </c>
      <c r="T15" s="436"/>
      <c r="U15" s="133"/>
      <c r="V15" s="132"/>
      <c r="AA15" s="131" t="s">
        <v>543</v>
      </c>
    </row>
    <row r="16" spans="1:27" s="127" customFormat="1" ht="24.6" customHeight="1">
      <c r="A16" s="130">
        <v>12</v>
      </c>
      <c r="B16" s="134" t="s">
        <v>896</v>
      </c>
      <c r="C16" s="135"/>
      <c r="D16" s="135"/>
      <c r="E16" s="135"/>
      <c r="F16" s="135"/>
      <c r="G16" s="135"/>
      <c r="H16" s="135"/>
      <c r="I16" s="135"/>
      <c r="J16" s="135"/>
      <c r="K16" s="135"/>
      <c r="L16" s="135">
        <v>16</v>
      </c>
      <c r="M16" s="135"/>
      <c r="N16" s="135"/>
      <c r="O16" s="135"/>
      <c r="P16" s="135"/>
      <c r="Q16" s="135"/>
      <c r="R16" s="135"/>
      <c r="S16" s="135">
        <v>16</v>
      </c>
      <c r="T16" s="436"/>
      <c r="U16" s="133"/>
      <c r="V16" s="132"/>
      <c r="AA16" s="131" t="s">
        <v>548</v>
      </c>
    </row>
    <row r="17" spans="1:27" s="127" customFormat="1" ht="24.6" customHeight="1">
      <c r="A17" s="130">
        <v>13</v>
      </c>
      <c r="B17" s="134" t="s">
        <v>897</v>
      </c>
      <c r="C17" s="135"/>
      <c r="D17" s="135"/>
      <c r="E17" s="135"/>
      <c r="F17" s="135"/>
      <c r="G17" s="135"/>
      <c r="H17" s="135"/>
      <c r="I17" s="135"/>
      <c r="J17" s="135">
        <v>4</v>
      </c>
      <c r="K17" s="135">
        <v>8</v>
      </c>
      <c r="L17" s="135">
        <v>8</v>
      </c>
      <c r="M17" s="135"/>
      <c r="N17" s="135"/>
      <c r="O17" s="135"/>
      <c r="P17" s="135"/>
      <c r="Q17" s="135">
        <v>4</v>
      </c>
      <c r="R17" s="135">
        <v>8</v>
      </c>
      <c r="S17" s="135">
        <v>8</v>
      </c>
      <c r="T17" s="436"/>
      <c r="U17" s="133"/>
      <c r="V17" s="132"/>
      <c r="AA17" s="131" t="s">
        <v>549</v>
      </c>
    </row>
    <row r="18" spans="1:27" s="127" customFormat="1" ht="24.6" customHeight="1">
      <c r="A18" s="130">
        <v>14</v>
      </c>
      <c r="B18" s="134" t="s">
        <v>898</v>
      </c>
      <c r="C18" s="135"/>
      <c r="D18" s="135"/>
      <c r="E18" s="135"/>
      <c r="F18" s="135"/>
      <c r="G18" s="135"/>
      <c r="H18" s="135"/>
      <c r="I18" s="135">
        <v>1</v>
      </c>
      <c r="J18" s="135">
        <v>4</v>
      </c>
      <c r="K18" s="135">
        <v>1</v>
      </c>
      <c r="L18" s="135"/>
      <c r="M18" s="135"/>
      <c r="N18" s="135"/>
      <c r="O18" s="135"/>
      <c r="P18" s="135"/>
      <c r="Q18" s="135">
        <v>4</v>
      </c>
      <c r="R18" s="135">
        <v>1</v>
      </c>
      <c r="S18" s="135"/>
      <c r="T18" s="436"/>
      <c r="U18" s="133"/>
      <c r="V18" s="132"/>
      <c r="AA18" s="131" t="s">
        <v>550</v>
      </c>
    </row>
    <row r="19" spans="1:27" s="127" customFormat="1" ht="24.6" customHeight="1">
      <c r="A19" s="130">
        <v>15</v>
      </c>
      <c r="B19" s="134" t="s">
        <v>899</v>
      </c>
      <c r="C19" s="135"/>
      <c r="D19" s="135"/>
      <c r="E19" s="135"/>
      <c r="F19" s="135"/>
      <c r="G19" s="135"/>
      <c r="H19" s="135">
        <v>1</v>
      </c>
      <c r="I19" s="135"/>
      <c r="J19" s="135">
        <v>4</v>
      </c>
      <c r="K19" s="135">
        <v>4</v>
      </c>
      <c r="L19" s="135">
        <v>19</v>
      </c>
      <c r="M19" s="135"/>
      <c r="N19" s="135"/>
      <c r="O19" s="135"/>
      <c r="P19" s="135">
        <v>1</v>
      </c>
      <c r="Q19" s="135">
        <v>4</v>
      </c>
      <c r="R19" s="135">
        <v>4</v>
      </c>
      <c r="S19" s="135">
        <v>19</v>
      </c>
      <c r="T19" s="436"/>
      <c r="U19" s="133"/>
      <c r="V19" s="132"/>
      <c r="AA19" s="131" t="s">
        <v>543</v>
      </c>
    </row>
    <row r="20" spans="1:27" s="127" customFormat="1" ht="24.6" customHeight="1">
      <c r="A20" s="130">
        <v>16</v>
      </c>
      <c r="B20" s="134" t="s">
        <v>900</v>
      </c>
      <c r="C20" s="135"/>
      <c r="D20" s="135"/>
      <c r="E20" s="135"/>
      <c r="F20" s="135"/>
      <c r="G20" s="135"/>
      <c r="H20" s="135"/>
      <c r="I20" s="135"/>
      <c r="J20" s="135">
        <v>3</v>
      </c>
      <c r="K20" s="135">
        <v>1</v>
      </c>
      <c r="L20" s="135">
        <v>16</v>
      </c>
      <c r="M20" s="135"/>
      <c r="N20" s="135"/>
      <c r="O20" s="135"/>
      <c r="P20" s="135"/>
      <c r="Q20" s="135">
        <v>3</v>
      </c>
      <c r="R20" s="135">
        <v>1</v>
      </c>
      <c r="S20" s="135">
        <v>16</v>
      </c>
      <c r="T20" s="436"/>
      <c r="U20" s="133"/>
      <c r="V20" s="132"/>
      <c r="AA20" s="131" t="s">
        <v>545</v>
      </c>
    </row>
    <row r="21" spans="1:27" s="127" customFormat="1" ht="24.6" customHeight="1">
      <c r="A21" s="130">
        <v>17</v>
      </c>
      <c r="B21" s="134" t="s">
        <v>901</v>
      </c>
      <c r="C21" s="135"/>
      <c r="D21" s="135"/>
      <c r="E21" s="135"/>
      <c r="F21" s="135"/>
      <c r="G21" s="135"/>
      <c r="H21" s="135"/>
      <c r="I21" s="135"/>
      <c r="J21" s="135">
        <v>4</v>
      </c>
      <c r="K21" s="135"/>
      <c r="L21" s="135"/>
      <c r="M21" s="135"/>
      <c r="N21" s="135"/>
      <c r="O21" s="135"/>
      <c r="P21" s="135"/>
      <c r="Q21" s="135">
        <v>4</v>
      </c>
      <c r="R21" s="135"/>
      <c r="S21" s="135"/>
      <c r="T21" s="436"/>
      <c r="U21" s="133"/>
      <c r="V21" s="132"/>
      <c r="AA21" s="131" t="s">
        <v>546</v>
      </c>
    </row>
    <row r="22" spans="1:27" s="127" customFormat="1" ht="24.6" customHeight="1">
      <c r="A22" s="130">
        <v>18</v>
      </c>
      <c r="B22" s="134" t="s">
        <v>902</v>
      </c>
      <c r="C22" s="135"/>
      <c r="D22" s="135"/>
      <c r="E22" s="135"/>
      <c r="F22" s="135"/>
      <c r="G22" s="135"/>
      <c r="H22" s="135"/>
      <c r="I22" s="135"/>
      <c r="J22" s="135">
        <v>4</v>
      </c>
      <c r="K22" s="135">
        <v>4</v>
      </c>
      <c r="L22" s="135"/>
      <c r="M22" s="135"/>
      <c r="N22" s="135"/>
      <c r="O22" s="135"/>
      <c r="P22" s="135"/>
      <c r="Q22" s="135">
        <v>4</v>
      </c>
      <c r="R22" s="135">
        <v>4</v>
      </c>
      <c r="S22" s="135"/>
      <c r="T22" s="436"/>
      <c r="U22" s="133"/>
      <c r="V22" s="132"/>
      <c r="AA22" s="131" t="s">
        <v>543</v>
      </c>
    </row>
    <row r="23" spans="1:27" s="127" customFormat="1" ht="24.6" customHeight="1">
      <c r="A23" s="130">
        <v>19</v>
      </c>
      <c r="B23" s="134" t="s">
        <v>903</v>
      </c>
      <c r="C23" s="135"/>
      <c r="D23" s="135"/>
      <c r="E23" s="135"/>
      <c r="F23" s="135"/>
      <c r="G23" s="135"/>
      <c r="H23" s="135"/>
      <c r="I23" s="135"/>
      <c r="J23" s="135">
        <v>4</v>
      </c>
      <c r="K23" s="135"/>
      <c r="L23" s="135"/>
      <c r="M23" s="135"/>
      <c r="N23" s="135"/>
      <c r="O23" s="135"/>
      <c r="P23" s="135"/>
      <c r="Q23" s="135">
        <v>4</v>
      </c>
      <c r="R23" s="135"/>
      <c r="S23" s="135"/>
      <c r="T23" s="436"/>
      <c r="U23" s="133"/>
      <c r="V23" s="132"/>
      <c r="AA23" s="131" t="s">
        <v>543</v>
      </c>
    </row>
    <row r="24" spans="1:27" s="127" customFormat="1" ht="24.6" customHeight="1">
      <c r="A24" s="130">
        <v>20</v>
      </c>
      <c r="B24" s="134" t="s">
        <v>904</v>
      </c>
      <c r="C24" s="135"/>
      <c r="D24" s="135"/>
      <c r="E24" s="135"/>
      <c r="F24" s="135"/>
      <c r="G24" s="135"/>
      <c r="H24" s="135"/>
      <c r="I24" s="135"/>
      <c r="J24" s="135">
        <v>4</v>
      </c>
      <c r="K24" s="135">
        <v>4</v>
      </c>
      <c r="L24" s="135"/>
      <c r="M24" s="135"/>
      <c r="N24" s="135"/>
      <c r="O24" s="135"/>
      <c r="P24" s="135"/>
      <c r="Q24" s="135">
        <v>4</v>
      </c>
      <c r="R24" s="135">
        <v>4</v>
      </c>
      <c r="S24" s="135"/>
      <c r="T24" s="436"/>
      <c r="U24" s="133"/>
      <c r="V24" s="132"/>
      <c r="AA24" s="131" t="s">
        <v>543</v>
      </c>
    </row>
    <row r="25" spans="1:27" s="127" customFormat="1" ht="24.6" customHeight="1">
      <c r="A25" s="130">
        <v>21</v>
      </c>
      <c r="B25" s="134" t="s">
        <v>905</v>
      </c>
      <c r="C25" s="135"/>
      <c r="D25" s="135"/>
      <c r="E25" s="135"/>
      <c r="F25" s="135"/>
      <c r="G25" s="135"/>
      <c r="H25" s="135"/>
      <c r="I25" s="135"/>
      <c r="J25" s="135">
        <v>4</v>
      </c>
      <c r="K25" s="135"/>
      <c r="L25" s="135">
        <v>8</v>
      </c>
      <c r="M25" s="135"/>
      <c r="N25" s="135"/>
      <c r="O25" s="135"/>
      <c r="P25" s="135"/>
      <c r="Q25" s="135">
        <v>4</v>
      </c>
      <c r="R25" s="135"/>
      <c r="S25" s="135">
        <v>8</v>
      </c>
      <c r="T25" s="436"/>
      <c r="U25" s="133"/>
      <c r="V25" s="132"/>
      <c r="AA25" s="131" t="s">
        <v>543</v>
      </c>
    </row>
    <row r="26" spans="1:27" s="127" customFormat="1" ht="24.6" customHeight="1">
      <c r="A26" s="130">
        <v>22</v>
      </c>
      <c r="B26" s="134" t="s">
        <v>906</v>
      </c>
      <c r="C26" s="135"/>
      <c r="D26" s="135"/>
      <c r="E26" s="135"/>
      <c r="F26" s="135"/>
      <c r="G26" s="135"/>
      <c r="H26" s="135"/>
      <c r="I26" s="135"/>
      <c r="J26" s="135">
        <v>2</v>
      </c>
      <c r="K26" s="135">
        <v>8</v>
      </c>
      <c r="L26" s="135"/>
      <c r="M26" s="135"/>
      <c r="N26" s="135"/>
      <c r="O26" s="135"/>
      <c r="P26" s="135"/>
      <c r="Q26" s="135">
        <v>2</v>
      </c>
      <c r="R26" s="135">
        <v>8</v>
      </c>
      <c r="S26" s="135"/>
      <c r="T26" s="436"/>
      <c r="U26" s="133"/>
      <c r="V26" s="132"/>
      <c r="AA26" s="131" t="s">
        <v>549</v>
      </c>
    </row>
    <row r="27" spans="1:27" s="127" customFormat="1" ht="24.6" customHeight="1">
      <c r="A27" s="130">
        <v>23</v>
      </c>
      <c r="B27" s="134" t="s">
        <v>907</v>
      </c>
      <c r="C27" s="135"/>
      <c r="D27" s="135"/>
      <c r="E27" s="135"/>
      <c r="F27" s="135"/>
      <c r="G27" s="135"/>
      <c r="H27" s="135"/>
      <c r="I27" s="135"/>
      <c r="J27" s="135">
        <v>4</v>
      </c>
      <c r="K27" s="135"/>
      <c r="L27" s="135">
        <v>8</v>
      </c>
      <c r="M27" s="135"/>
      <c r="N27" s="135"/>
      <c r="O27" s="135"/>
      <c r="P27" s="135"/>
      <c r="Q27" s="135">
        <v>4</v>
      </c>
      <c r="R27" s="135"/>
      <c r="S27" s="135">
        <v>8</v>
      </c>
      <c r="T27" s="436"/>
      <c r="U27" s="133"/>
      <c r="V27" s="132"/>
      <c r="AA27" s="131" t="s">
        <v>548</v>
      </c>
    </row>
    <row r="28" spans="1:27" s="127" customFormat="1" ht="24.6" customHeight="1">
      <c r="A28" s="130">
        <v>24</v>
      </c>
      <c r="B28" s="134" t="s">
        <v>908</v>
      </c>
      <c r="C28" s="135"/>
      <c r="D28" s="135"/>
      <c r="E28" s="135"/>
      <c r="F28" s="135"/>
      <c r="G28" s="135"/>
      <c r="H28" s="135"/>
      <c r="I28" s="135"/>
      <c r="J28" s="135">
        <v>2</v>
      </c>
      <c r="K28" s="135"/>
      <c r="L28" s="135"/>
      <c r="M28" s="135"/>
      <c r="N28" s="135"/>
      <c r="O28" s="135"/>
      <c r="P28" s="135"/>
      <c r="Q28" s="135">
        <v>2</v>
      </c>
      <c r="R28" s="135"/>
      <c r="S28" s="135"/>
      <c r="T28" s="436"/>
      <c r="U28" s="133"/>
      <c r="V28" s="132"/>
      <c r="AA28" s="131" t="s">
        <v>545</v>
      </c>
    </row>
    <row r="29" spans="1:27" s="127" customFormat="1" ht="24.6" customHeight="1">
      <c r="A29" s="130">
        <v>25</v>
      </c>
      <c r="B29" s="134" t="s">
        <v>909</v>
      </c>
      <c r="C29" s="135"/>
      <c r="D29" s="135"/>
      <c r="E29" s="135"/>
      <c r="F29" s="135"/>
      <c r="G29" s="135"/>
      <c r="H29" s="135"/>
      <c r="I29" s="135"/>
      <c r="J29" s="135"/>
      <c r="K29" s="135"/>
      <c r="L29" s="135">
        <v>8</v>
      </c>
      <c r="M29" s="135"/>
      <c r="N29" s="135"/>
      <c r="O29" s="135"/>
      <c r="P29" s="135"/>
      <c r="Q29" s="135"/>
      <c r="R29" s="135"/>
      <c r="S29" s="135">
        <v>8</v>
      </c>
      <c r="T29" s="436"/>
      <c r="U29" s="133"/>
      <c r="V29" s="132"/>
      <c r="AA29" s="131" t="s">
        <v>548</v>
      </c>
    </row>
    <row r="30" spans="1:27" s="127" customFormat="1" ht="24.6" customHeight="1">
      <c r="A30" s="130">
        <v>26</v>
      </c>
      <c r="B30" s="134" t="s">
        <v>910</v>
      </c>
      <c r="C30" s="135"/>
      <c r="D30" s="135"/>
      <c r="E30" s="135"/>
      <c r="F30" s="135"/>
      <c r="G30" s="135"/>
      <c r="H30" s="135"/>
      <c r="I30" s="135"/>
      <c r="J30" s="135">
        <v>2</v>
      </c>
      <c r="K30" s="135"/>
      <c r="L30" s="135"/>
      <c r="M30" s="135"/>
      <c r="N30" s="135"/>
      <c r="O30" s="135"/>
      <c r="P30" s="135"/>
      <c r="Q30" s="135">
        <v>2</v>
      </c>
      <c r="R30" s="135"/>
      <c r="S30" s="135"/>
      <c r="T30" s="436"/>
      <c r="U30" s="133"/>
      <c r="V30" s="132"/>
      <c r="AA30" s="131" t="s">
        <v>543</v>
      </c>
    </row>
    <row r="31" spans="1:27" s="127" customFormat="1" ht="24.6" customHeight="1">
      <c r="A31" s="130">
        <v>27</v>
      </c>
      <c r="B31" s="134" t="s">
        <v>911</v>
      </c>
      <c r="C31" s="135"/>
      <c r="D31" s="135"/>
      <c r="E31" s="135"/>
      <c r="F31" s="135"/>
      <c r="G31" s="135"/>
      <c r="H31" s="135"/>
      <c r="I31" s="135"/>
      <c r="J31" s="135">
        <v>4</v>
      </c>
      <c r="K31" s="135"/>
      <c r="L31" s="135">
        <v>16</v>
      </c>
      <c r="M31" s="135"/>
      <c r="N31" s="135"/>
      <c r="O31" s="135"/>
      <c r="P31" s="135"/>
      <c r="Q31" s="135">
        <v>4</v>
      </c>
      <c r="R31" s="135"/>
      <c r="S31" s="135">
        <v>16</v>
      </c>
      <c r="T31" s="436"/>
      <c r="U31" s="133"/>
      <c r="V31" s="132"/>
      <c r="AA31" s="131" t="s">
        <v>548</v>
      </c>
    </row>
    <row r="32" spans="1:27" s="127" customFormat="1" ht="24.6" customHeight="1">
      <c r="A32" s="130">
        <v>28</v>
      </c>
      <c r="B32" s="134" t="s">
        <v>912</v>
      </c>
      <c r="C32" s="135"/>
      <c r="D32" s="135"/>
      <c r="E32" s="135"/>
      <c r="F32" s="135"/>
      <c r="G32" s="135"/>
      <c r="H32" s="135"/>
      <c r="I32" s="135"/>
      <c r="J32" s="135"/>
      <c r="K32" s="135"/>
      <c r="L32" s="135">
        <v>16</v>
      </c>
      <c r="M32" s="135"/>
      <c r="N32" s="135"/>
      <c r="O32" s="135"/>
      <c r="P32" s="135"/>
      <c r="Q32" s="135"/>
      <c r="R32" s="135"/>
      <c r="S32" s="135">
        <v>16</v>
      </c>
      <c r="T32" s="436"/>
      <c r="U32" s="133"/>
      <c r="V32" s="132"/>
      <c r="AA32" s="131"/>
    </row>
    <row r="33" spans="1:27" s="127" customFormat="1" ht="24.6" customHeight="1">
      <c r="A33" s="130">
        <v>29</v>
      </c>
      <c r="B33" s="134" t="s">
        <v>913</v>
      </c>
      <c r="C33" s="135"/>
      <c r="D33" s="135"/>
      <c r="E33" s="135"/>
      <c r="F33" s="135"/>
      <c r="G33" s="135"/>
      <c r="H33" s="135"/>
      <c r="I33" s="135"/>
      <c r="J33" s="135">
        <v>10</v>
      </c>
      <c r="K33" s="135">
        <v>4</v>
      </c>
      <c r="L33" s="135"/>
      <c r="M33" s="135"/>
      <c r="N33" s="135"/>
      <c r="O33" s="135"/>
      <c r="P33" s="135"/>
      <c r="Q33" s="135">
        <v>10</v>
      </c>
      <c r="R33" s="135">
        <v>4</v>
      </c>
      <c r="S33" s="135">
        <v>1</v>
      </c>
      <c r="T33" s="436"/>
      <c r="U33" s="133"/>
      <c r="V33" s="132"/>
      <c r="AA33" s="131"/>
    </row>
    <row r="34" spans="1:27" s="127" customFormat="1" ht="24.6" customHeight="1">
      <c r="A34" s="130">
        <v>30</v>
      </c>
      <c r="B34" s="134" t="s">
        <v>914</v>
      </c>
      <c r="C34" s="135"/>
      <c r="D34" s="135"/>
      <c r="E34" s="135"/>
      <c r="F34" s="135"/>
      <c r="G34" s="135"/>
      <c r="H34" s="135"/>
      <c r="I34" s="135"/>
      <c r="J34" s="135">
        <v>6</v>
      </c>
      <c r="K34" s="135"/>
      <c r="L34" s="135"/>
      <c r="M34" s="135"/>
      <c r="N34" s="135"/>
      <c r="O34" s="135"/>
      <c r="P34" s="135"/>
      <c r="Q34" s="135">
        <v>6</v>
      </c>
      <c r="R34" s="135"/>
      <c r="S34" s="135"/>
      <c r="T34" s="436"/>
      <c r="U34" s="133"/>
      <c r="V34" s="132"/>
      <c r="AA34" s="131"/>
    </row>
    <row r="35" spans="1:27" s="127" customFormat="1" ht="24.6" customHeight="1">
      <c r="A35" s="130">
        <v>31</v>
      </c>
      <c r="B35" s="134" t="s">
        <v>915</v>
      </c>
      <c r="C35" s="135"/>
      <c r="D35" s="135"/>
      <c r="E35" s="135"/>
      <c r="F35" s="135"/>
      <c r="G35" s="135"/>
      <c r="H35" s="135"/>
      <c r="I35" s="135"/>
      <c r="J35" s="135">
        <v>6</v>
      </c>
      <c r="K35" s="135"/>
      <c r="L35" s="135"/>
      <c r="M35" s="135"/>
      <c r="N35" s="135"/>
      <c r="O35" s="135"/>
      <c r="P35" s="135"/>
      <c r="Q35" s="135">
        <v>6</v>
      </c>
      <c r="R35" s="135"/>
      <c r="S35" s="135"/>
      <c r="T35" s="436"/>
      <c r="U35" s="133"/>
      <c r="V35" s="132"/>
      <c r="AA35" s="131"/>
    </row>
    <row r="36" spans="1:27" s="127" customFormat="1" ht="24.6" customHeight="1">
      <c r="A36" s="130">
        <v>32</v>
      </c>
      <c r="B36" s="134" t="s">
        <v>916</v>
      </c>
      <c r="C36" s="135"/>
      <c r="D36" s="135"/>
      <c r="E36" s="135"/>
      <c r="F36" s="135"/>
      <c r="G36" s="135"/>
      <c r="H36" s="135"/>
      <c r="I36" s="135"/>
      <c r="J36" s="135">
        <v>4</v>
      </c>
      <c r="K36" s="135"/>
      <c r="L36" s="135"/>
      <c r="M36" s="135"/>
      <c r="N36" s="135"/>
      <c r="O36" s="135"/>
      <c r="P36" s="135"/>
      <c r="Q36" s="135">
        <v>4</v>
      </c>
      <c r="R36" s="135"/>
      <c r="S36" s="135"/>
      <c r="T36" s="436"/>
      <c r="U36" s="133"/>
      <c r="V36" s="132"/>
      <c r="AA36" s="131"/>
    </row>
    <row r="37" spans="1:27" s="127" customFormat="1" ht="24.6" customHeight="1">
      <c r="A37" s="130">
        <v>33</v>
      </c>
      <c r="B37" s="134" t="s">
        <v>917</v>
      </c>
      <c r="C37" s="135"/>
      <c r="D37" s="135"/>
      <c r="E37" s="135"/>
      <c r="F37" s="135"/>
      <c r="G37" s="135"/>
      <c r="H37" s="135"/>
      <c r="I37" s="135"/>
      <c r="J37" s="135"/>
      <c r="K37" s="135"/>
      <c r="L37" s="135">
        <v>16</v>
      </c>
      <c r="M37" s="135"/>
      <c r="N37" s="135"/>
      <c r="O37" s="135"/>
      <c r="P37" s="135"/>
      <c r="Q37" s="135"/>
      <c r="R37" s="135"/>
      <c r="S37" s="135">
        <v>16</v>
      </c>
      <c r="T37" s="436"/>
      <c r="U37" s="133"/>
      <c r="V37" s="132"/>
      <c r="AA37" s="131"/>
    </row>
    <row r="38" spans="1:27" s="127" customFormat="1" ht="24.6" customHeight="1">
      <c r="A38" s="130">
        <v>34</v>
      </c>
      <c r="B38" s="134" t="s">
        <v>918</v>
      </c>
      <c r="C38" s="135"/>
      <c r="D38" s="135"/>
      <c r="E38" s="135"/>
      <c r="F38" s="135"/>
      <c r="G38" s="135"/>
      <c r="H38" s="135"/>
      <c r="I38" s="135"/>
      <c r="J38" s="135">
        <v>4</v>
      </c>
      <c r="K38" s="135"/>
      <c r="L38" s="135">
        <v>16</v>
      </c>
      <c r="M38" s="135"/>
      <c r="N38" s="135"/>
      <c r="O38" s="135"/>
      <c r="P38" s="135"/>
      <c r="Q38" s="135">
        <v>4</v>
      </c>
      <c r="R38" s="135"/>
      <c r="S38" s="135">
        <v>16</v>
      </c>
      <c r="T38" s="436"/>
      <c r="U38" s="133"/>
      <c r="V38" s="132"/>
      <c r="AA38" s="131"/>
    </row>
    <row r="39" spans="1:27" s="127" customFormat="1" ht="24.6" customHeight="1">
      <c r="A39" s="130">
        <v>35</v>
      </c>
      <c r="B39" s="134" t="s">
        <v>919</v>
      </c>
      <c r="C39" s="135"/>
      <c r="D39" s="135"/>
      <c r="E39" s="135"/>
      <c r="F39" s="135"/>
      <c r="G39" s="135"/>
      <c r="H39" s="135"/>
      <c r="I39" s="135"/>
      <c r="J39" s="135"/>
      <c r="K39" s="135"/>
      <c r="L39" s="135">
        <v>16</v>
      </c>
      <c r="M39" s="135"/>
      <c r="N39" s="135"/>
      <c r="O39" s="135"/>
      <c r="P39" s="135"/>
      <c r="Q39" s="135"/>
      <c r="R39" s="135"/>
      <c r="S39" s="135">
        <v>16</v>
      </c>
      <c r="T39" s="436"/>
      <c r="U39" s="133"/>
      <c r="V39" s="132"/>
      <c r="AA39" s="131"/>
    </row>
    <row r="40" spans="1:27" s="127" customFormat="1" ht="24.6" customHeight="1">
      <c r="A40" s="130">
        <v>36</v>
      </c>
      <c r="B40" s="134" t="s">
        <v>920</v>
      </c>
      <c r="C40" s="135"/>
      <c r="D40" s="135"/>
      <c r="E40" s="135"/>
      <c r="F40" s="135"/>
      <c r="G40" s="135"/>
      <c r="H40" s="135"/>
      <c r="I40" s="135"/>
      <c r="J40" s="135">
        <v>4</v>
      </c>
      <c r="K40" s="135"/>
      <c r="L40" s="135"/>
      <c r="M40" s="135"/>
      <c r="N40" s="135"/>
      <c r="O40" s="135"/>
      <c r="P40" s="135"/>
      <c r="Q40" s="135">
        <v>4</v>
      </c>
      <c r="R40" s="135"/>
      <c r="S40" s="135"/>
      <c r="T40" s="436"/>
      <c r="U40" s="133"/>
      <c r="V40" s="132"/>
      <c r="AA40" s="131"/>
    </row>
    <row r="41" spans="1:27" s="127" customFormat="1" ht="24.6" customHeight="1">
      <c r="A41" s="130">
        <v>37</v>
      </c>
      <c r="B41" s="134" t="s">
        <v>921</v>
      </c>
      <c r="C41" s="135"/>
      <c r="D41" s="135"/>
      <c r="E41" s="135"/>
      <c r="F41" s="135"/>
      <c r="G41" s="135"/>
      <c r="H41" s="135"/>
      <c r="I41" s="135"/>
      <c r="J41" s="135">
        <v>4</v>
      </c>
      <c r="K41" s="135"/>
      <c r="L41" s="135"/>
      <c r="M41" s="135"/>
      <c r="N41" s="135"/>
      <c r="O41" s="135"/>
      <c r="P41" s="135"/>
      <c r="Q41" s="135">
        <v>4</v>
      </c>
      <c r="R41" s="135"/>
      <c r="S41" s="135"/>
      <c r="T41" s="436"/>
      <c r="U41" s="133"/>
      <c r="V41" s="132"/>
      <c r="AA41" s="131"/>
    </row>
    <row r="42" spans="1:27" s="127" customFormat="1" ht="24.6" customHeight="1">
      <c r="A42" s="130">
        <v>38</v>
      </c>
      <c r="B42" s="134" t="s">
        <v>922</v>
      </c>
      <c r="C42" s="135"/>
      <c r="D42" s="135"/>
      <c r="E42" s="135"/>
      <c r="F42" s="135"/>
      <c r="G42" s="135"/>
      <c r="H42" s="135"/>
      <c r="I42" s="135"/>
      <c r="J42" s="135">
        <v>5</v>
      </c>
      <c r="K42" s="135"/>
      <c r="L42" s="135"/>
      <c r="M42" s="135"/>
      <c r="N42" s="135"/>
      <c r="O42" s="135"/>
      <c r="P42" s="135"/>
      <c r="Q42" s="135">
        <v>5</v>
      </c>
      <c r="R42" s="135"/>
      <c r="S42" s="135"/>
      <c r="T42" s="436"/>
      <c r="U42" s="133"/>
      <c r="V42" s="132"/>
      <c r="AA42" s="131"/>
    </row>
    <row r="43" spans="1:27" s="127" customFormat="1" ht="24.6" customHeight="1">
      <c r="A43" s="130">
        <v>39</v>
      </c>
      <c r="B43" s="134" t="s">
        <v>923</v>
      </c>
      <c r="C43" s="135"/>
      <c r="D43" s="135"/>
      <c r="E43" s="135"/>
      <c r="F43" s="135"/>
      <c r="G43" s="135"/>
      <c r="H43" s="135"/>
      <c r="I43" s="135"/>
      <c r="J43" s="135">
        <v>3</v>
      </c>
      <c r="K43" s="135"/>
      <c r="L43" s="135"/>
      <c r="M43" s="135"/>
      <c r="N43" s="135"/>
      <c r="O43" s="135"/>
      <c r="P43" s="135"/>
      <c r="Q43" s="135">
        <v>3</v>
      </c>
      <c r="R43" s="135"/>
      <c r="S43" s="135"/>
      <c r="T43" s="436"/>
      <c r="U43" s="133"/>
      <c r="V43" s="132"/>
      <c r="AA43" s="131"/>
    </row>
    <row r="44" spans="1:27" s="127" customFormat="1" ht="24.6" customHeight="1">
      <c r="A44" s="130">
        <v>40</v>
      </c>
      <c r="B44" s="134" t="s">
        <v>924</v>
      </c>
      <c r="C44" s="135"/>
      <c r="D44" s="135"/>
      <c r="E44" s="135"/>
      <c r="F44" s="135"/>
      <c r="G44" s="135"/>
      <c r="H44" s="135"/>
      <c r="I44" s="135"/>
      <c r="J44" s="135"/>
      <c r="K44" s="135"/>
      <c r="L44" s="135">
        <v>22</v>
      </c>
      <c r="M44" s="135"/>
      <c r="N44" s="135"/>
      <c r="O44" s="135"/>
      <c r="P44" s="135"/>
      <c r="Q44" s="135"/>
      <c r="R44" s="135"/>
      <c r="S44" s="135">
        <v>21</v>
      </c>
      <c r="T44" s="436"/>
      <c r="U44" s="133"/>
      <c r="V44" s="132"/>
      <c r="AA44" s="131"/>
    </row>
    <row r="45" spans="1:27" s="127" customFormat="1" ht="24.6" customHeight="1">
      <c r="A45" s="130">
        <v>41</v>
      </c>
      <c r="B45" s="134" t="s">
        <v>925</v>
      </c>
      <c r="C45" s="135"/>
      <c r="D45" s="135"/>
      <c r="E45" s="135"/>
      <c r="F45" s="135"/>
      <c r="G45" s="135"/>
      <c r="H45" s="135"/>
      <c r="I45" s="135"/>
      <c r="J45" s="135">
        <v>2</v>
      </c>
      <c r="K45" s="135"/>
      <c r="L45" s="135"/>
      <c r="M45" s="135"/>
      <c r="N45" s="135"/>
      <c r="O45" s="135"/>
      <c r="P45" s="135"/>
      <c r="Q45" s="135">
        <v>2</v>
      </c>
      <c r="R45" s="135"/>
      <c r="S45" s="135"/>
      <c r="T45" s="436"/>
      <c r="U45" s="133"/>
      <c r="V45" s="132"/>
      <c r="AA45" s="131"/>
    </row>
    <row r="46" spans="1:27" s="127" customFormat="1" ht="24.6" customHeight="1">
      <c r="A46" s="130">
        <v>42</v>
      </c>
      <c r="B46" s="134" t="s">
        <v>926</v>
      </c>
      <c r="C46" s="135"/>
      <c r="D46" s="135"/>
      <c r="E46" s="135"/>
      <c r="F46" s="135"/>
      <c r="G46" s="135"/>
      <c r="H46" s="135"/>
      <c r="I46" s="135"/>
      <c r="J46" s="135">
        <v>5</v>
      </c>
      <c r="K46" s="135"/>
      <c r="L46" s="135">
        <v>4</v>
      </c>
      <c r="M46" s="135"/>
      <c r="N46" s="135"/>
      <c r="O46" s="135"/>
      <c r="P46" s="135"/>
      <c r="Q46" s="135">
        <v>5</v>
      </c>
      <c r="R46" s="135"/>
      <c r="S46" s="135">
        <v>4</v>
      </c>
      <c r="T46" s="436"/>
      <c r="U46" s="133"/>
      <c r="V46" s="132"/>
      <c r="AA46" s="131"/>
    </row>
    <row r="47" spans="1:27" s="127" customFormat="1" ht="24.6" customHeight="1">
      <c r="A47" s="130">
        <v>43</v>
      </c>
      <c r="B47" s="134" t="s">
        <v>927</v>
      </c>
      <c r="C47" s="135"/>
      <c r="D47" s="135"/>
      <c r="E47" s="135"/>
      <c r="F47" s="135"/>
      <c r="G47" s="135"/>
      <c r="H47" s="135"/>
      <c r="I47" s="135"/>
      <c r="J47" s="135">
        <v>12</v>
      </c>
      <c r="K47" s="135"/>
      <c r="L47" s="135">
        <v>8</v>
      </c>
      <c r="M47" s="135"/>
      <c r="N47" s="135"/>
      <c r="O47" s="135"/>
      <c r="P47" s="135"/>
      <c r="Q47" s="135">
        <v>12</v>
      </c>
      <c r="R47" s="135"/>
      <c r="S47" s="135">
        <v>8</v>
      </c>
      <c r="T47" s="436"/>
      <c r="U47" s="133"/>
      <c r="V47" s="132"/>
      <c r="AA47" s="131"/>
    </row>
    <row r="48" spans="1:27" s="127" customFormat="1" ht="24.6" customHeight="1">
      <c r="A48" s="130">
        <v>44</v>
      </c>
      <c r="B48" s="134" t="s">
        <v>928</v>
      </c>
      <c r="C48" s="135"/>
      <c r="D48" s="135"/>
      <c r="E48" s="135"/>
      <c r="F48" s="135"/>
      <c r="G48" s="135"/>
      <c r="H48" s="135"/>
      <c r="I48" s="135"/>
      <c r="J48" s="135">
        <v>2</v>
      </c>
      <c r="K48" s="135"/>
      <c r="L48" s="135"/>
      <c r="M48" s="135"/>
      <c r="N48" s="135"/>
      <c r="O48" s="135"/>
      <c r="P48" s="135"/>
      <c r="Q48" s="135">
        <v>2</v>
      </c>
      <c r="R48" s="135"/>
      <c r="S48" s="135"/>
      <c r="T48" s="436"/>
      <c r="U48" s="133"/>
      <c r="V48" s="132"/>
      <c r="AA48" s="131"/>
    </row>
    <row r="49" spans="1:27" s="127" customFormat="1" ht="24.6" customHeight="1">
      <c r="A49" s="130">
        <v>45</v>
      </c>
      <c r="B49" s="134" t="s">
        <v>929</v>
      </c>
      <c r="C49" s="135"/>
      <c r="D49" s="135"/>
      <c r="E49" s="135"/>
      <c r="F49" s="135"/>
      <c r="G49" s="135"/>
      <c r="H49" s="135"/>
      <c r="I49" s="135"/>
      <c r="J49" s="135">
        <v>6</v>
      </c>
      <c r="K49" s="135"/>
      <c r="L49" s="135"/>
      <c r="M49" s="135"/>
      <c r="N49" s="135"/>
      <c r="O49" s="135"/>
      <c r="P49" s="135"/>
      <c r="Q49" s="135">
        <v>6</v>
      </c>
      <c r="R49" s="135"/>
      <c r="S49" s="135"/>
      <c r="T49" s="436"/>
      <c r="U49" s="133"/>
      <c r="V49" s="132"/>
      <c r="AA49" s="131"/>
    </row>
    <row r="50" spans="1:27" s="127" customFormat="1" ht="24.6" customHeight="1">
      <c r="A50" s="130">
        <v>46</v>
      </c>
      <c r="B50" s="134" t="s">
        <v>930</v>
      </c>
      <c r="C50" s="135"/>
      <c r="D50" s="135"/>
      <c r="E50" s="135"/>
      <c r="F50" s="135"/>
      <c r="G50" s="135"/>
      <c r="H50" s="135"/>
      <c r="I50" s="135"/>
      <c r="J50" s="135">
        <v>8</v>
      </c>
      <c r="K50" s="135"/>
      <c r="L50" s="135">
        <v>4</v>
      </c>
      <c r="M50" s="135"/>
      <c r="N50" s="135"/>
      <c r="O50" s="135"/>
      <c r="P50" s="135"/>
      <c r="Q50" s="135">
        <v>8</v>
      </c>
      <c r="R50" s="135"/>
      <c r="S50" s="135">
        <v>4</v>
      </c>
      <c r="T50" s="436"/>
      <c r="U50" s="133"/>
      <c r="V50" s="132"/>
      <c r="AA50" s="131"/>
    </row>
    <row r="51" spans="1:27" s="127" customFormat="1" ht="24.6" customHeight="1">
      <c r="A51" s="130">
        <v>47</v>
      </c>
      <c r="B51" s="134" t="s">
        <v>931</v>
      </c>
      <c r="C51" s="135"/>
      <c r="D51" s="135"/>
      <c r="E51" s="135"/>
      <c r="F51" s="135"/>
      <c r="G51" s="135"/>
      <c r="H51" s="135"/>
      <c r="I51" s="135"/>
      <c r="J51" s="135">
        <v>8</v>
      </c>
      <c r="K51" s="135"/>
      <c r="L51" s="135"/>
      <c r="M51" s="135"/>
      <c r="N51" s="135"/>
      <c r="O51" s="135"/>
      <c r="P51" s="135"/>
      <c r="Q51" s="135">
        <v>8</v>
      </c>
      <c r="R51" s="135"/>
      <c r="S51" s="135"/>
      <c r="T51" s="436"/>
      <c r="U51" s="133"/>
      <c r="V51" s="132"/>
      <c r="AA51" s="131"/>
    </row>
    <row r="52" spans="1:27" s="127" customFormat="1" ht="24.6" customHeight="1">
      <c r="A52" s="130">
        <v>48</v>
      </c>
      <c r="B52" s="134" t="s">
        <v>932</v>
      </c>
      <c r="C52" s="135"/>
      <c r="D52" s="135"/>
      <c r="E52" s="135"/>
      <c r="F52" s="135"/>
      <c r="G52" s="135"/>
      <c r="H52" s="135"/>
      <c r="I52" s="135"/>
      <c r="J52" s="135"/>
      <c r="K52" s="135"/>
      <c r="L52" s="135">
        <v>8</v>
      </c>
      <c r="M52" s="135"/>
      <c r="N52" s="135"/>
      <c r="O52" s="135"/>
      <c r="P52" s="135"/>
      <c r="Q52" s="135"/>
      <c r="R52" s="135"/>
      <c r="S52" s="135">
        <v>8</v>
      </c>
      <c r="T52" s="436"/>
      <c r="U52" s="133"/>
      <c r="V52" s="132"/>
      <c r="AA52" s="131"/>
    </row>
    <row r="53" spans="1:27" s="127" customFormat="1" ht="24.6" customHeight="1">
      <c r="A53" s="130">
        <v>49</v>
      </c>
      <c r="B53" s="134" t="s">
        <v>933</v>
      </c>
      <c r="C53" s="135"/>
      <c r="D53" s="135"/>
      <c r="E53" s="135"/>
      <c r="F53" s="135"/>
      <c r="G53" s="135"/>
      <c r="H53" s="135"/>
      <c r="I53" s="135"/>
      <c r="J53" s="135"/>
      <c r="K53" s="135"/>
      <c r="L53" s="135">
        <v>16</v>
      </c>
      <c r="M53" s="135"/>
      <c r="N53" s="135"/>
      <c r="O53" s="135"/>
      <c r="P53" s="135"/>
      <c r="Q53" s="135"/>
      <c r="R53" s="135"/>
      <c r="S53" s="135">
        <v>16</v>
      </c>
      <c r="T53" s="436"/>
      <c r="U53" s="133"/>
      <c r="V53" s="132"/>
      <c r="AA53" s="131"/>
    </row>
    <row r="54" spans="1:27" s="127" customFormat="1" ht="24.6" customHeight="1">
      <c r="A54" s="130">
        <v>50</v>
      </c>
      <c r="B54" s="134" t="s">
        <v>934</v>
      </c>
      <c r="C54" s="135"/>
      <c r="D54" s="135"/>
      <c r="E54" s="135">
        <v>1</v>
      </c>
      <c r="F54" s="135"/>
      <c r="G54" s="135"/>
      <c r="H54" s="135"/>
      <c r="I54" s="135"/>
      <c r="J54" s="135"/>
      <c r="K54" s="135"/>
      <c r="L54" s="135"/>
      <c r="M54" s="135"/>
      <c r="N54" s="135"/>
      <c r="O54" s="135"/>
      <c r="P54" s="135"/>
      <c r="Q54" s="135"/>
      <c r="R54" s="135"/>
      <c r="S54" s="135"/>
      <c r="T54" s="436"/>
      <c r="U54" s="133"/>
      <c r="V54" s="132"/>
      <c r="AA54" s="131"/>
    </row>
    <row r="55" spans="1:27" s="127" customFormat="1" ht="24.6" customHeight="1">
      <c r="A55" s="130">
        <v>51</v>
      </c>
      <c r="B55" s="134" t="s">
        <v>935</v>
      </c>
      <c r="C55" s="135"/>
      <c r="D55" s="135"/>
      <c r="E55" s="135">
        <v>1</v>
      </c>
      <c r="F55" s="135"/>
      <c r="G55" s="135"/>
      <c r="H55" s="135"/>
      <c r="I55" s="135"/>
      <c r="J55" s="135"/>
      <c r="K55" s="135"/>
      <c r="L55" s="135"/>
      <c r="M55" s="135"/>
      <c r="N55" s="135"/>
      <c r="O55" s="135"/>
      <c r="P55" s="135"/>
      <c r="Q55" s="135"/>
      <c r="R55" s="135"/>
      <c r="S55" s="135"/>
      <c r="T55" s="436"/>
      <c r="U55" s="133"/>
      <c r="V55" s="132"/>
      <c r="AA55" s="131"/>
    </row>
    <row r="56" spans="1:27" s="127" customFormat="1" ht="24.6" customHeight="1">
      <c r="A56" s="130">
        <v>52</v>
      </c>
      <c r="B56" s="134" t="s">
        <v>936</v>
      </c>
      <c r="C56" s="135"/>
      <c r="D56" s="135"/>
      <c r="E56" s="135">
        <v>1</v>
      </c>
      <c r="F56" s="135"/>
      <c r="G56" s="135"/>
      <c r="H56" s="135"/>
      <c r="I56" s="135"/>
      <c r="J56" s="135"/>
      <c r="K56" s="135"/>
      <c r="L56" s="135"/>
      <c r="M56" s="135"/>
      <c r="N56" s="135"/>
      <c r="O56" s="135"/>
      <c r="P56" s="135"/>
      <c r="Q56" s="135"/>
      <c r="R56" s="135"/>
      <c r="S56" s="135"/>
      <c r="T56" s="436"/>
      <c r="U56" s="133"/>
      <c r="V56" s="132"/>
      <c r="AA56" s="131"/>
    </row>
    <row r="57" spans="1:27" s="127" customFormat="1" ht="24.6" customHeight="1">
      <c r="A57" s="130">
        <v>53</v>
      </c>
      <c r="B57" s="134" t="s">
        <v>937</v>
      </c>
      <c r="C57" s="135"/>
      <c r="D57" s="135"/>
      <c r="E57" s="135">
        <v>1</v>
      </c>
      <c r="F57" s="135"/>
      <c r="G57" s="135"/>
      <c r="H57" s="135"/>
      <c r="I57" s="135"/>
      <c r="J57" s="135"/>
      <c r="K57" s="135"/>
      <c r="L57" s="135"/>
      <c r="M57" s="135"/>
      <c r="N57" s="135"/>
      <c r="O57" s="135"/>
      <c r="P57" s="135"/>
      <c r="Q57" s="135"/>
      <c r="R57" s="135"/>
      <c r="S57" s="135"/>
      <c r="T57" s="436"/>
      <c r="U57" s="133"/>
      <c r="V57" s="132"/>
      <c r="AA57" s="131"/>
    </row>
    <row r="58" spans="1:27" s="127" customFormat="1" ht="24.6" customHeight="1">
      <c r="A58" s="130">
        <v>54</v>
      </c>
      <c r="B58" s="134" t="s">
        <v>938</v>
      </c>
      <c r="C58" s="135"/>
      <c r="D58" s="135"/>
      <c r="E58" s="135">
        <v>1</v>
      </c>
      <c r="F58" s="135"/>
      <c r="G58" s="135"/>
      <c r="H58" s="135"/>
      <c r="I58" s="135"/>
      <c r="J58" s="135"/>
      <c r="K58" s="135"/>
      <c r="L58" s="135"/>
      <c r="M58" s="135"/>
      <c r="N58" s="135"/>
      <c r="O58" s="135"/>
      <c r="P58" s="135"/>
      <c r="Q58" s="135"/>
      <c r="R58" s="135"/>
      <c r="S58" s="135"/>
      <c r="T58" s="436"/>
      <c r="U58" s="133"/>
      <c r="V58" s="132"/>
      <c r="AA58" s="131"/>
    </row>
    <row r="59" spans="1:27" s="127" customFormat="1" ht="24.6" customHeight="1">
      <c r="A59" s="130">
        <v>55</v>
      </c>
      <c r="B59" s="134" t="s">
        <v>939</v>
      </c>
      <c r="C59" s="135"/>
      <c r="D59" s="135"/>
      <c r="E59" s="135">
        <v>1</v>
      </c>
      <c r="F59" s="135"/>
      <c r="G59" s="135"/>
      <c r="H59" s="135"/>
      <c r="I59" s="135"/>
      <c r="J59" s="135"/>
      <c r="K59" s="135"/>
      <c r="L59" s="135"/>
      <c r="M59" s="135"/>
      <c r="N59" s="135"/>
      <c r="O59" s="135"/>
      <c r="P59" s="135"/>
      <c r="Q59" s="135"/>
      <c r="R59" s="135"/>
      <c r="S59" s="135"/>
      <c r="T59" s="436"/>
      <c r="U59" s="133"/>
      <c r="V59" s="132"/>
      <c r="AA59" s="131"/>
    </row>
    <row r="60" spans="1:27" s="127" customFormat="1" ht="24.6" customHeight="1">
      <c r="A60" s="130">
        <v>56</v>
      </c>
      <c r="B60" s="134" t="s">
        <v>940</v>
      </c>
      <c r="C60" s="135"/>
      <c r="D60" s="135"/>
      <c r="E60" s="135">
        <v>1</v>
      </c>
      <c r="F60" s="135"/>
      <c r="G60" s="135"/>
      <c r="H60" s="135"/>
      <c r="I60" s="135"/>
      <c r="J60" s="135"/>
      <c r="K60" s="135"/>
      <c r="L60" s="135"/>
      <c r="M60" s="135"/>
      <c r="N60" s="135"/>
      <c r="O60" s="135"/>
      <c r="P60" s="135"/>
      <c r="Q60" s="135"/>
      <c r="R60" s="135"/>
      <c r="S60" s="135"/>
      <c r="T60" s="436"/>
      <c r="U60" s="133"/>
      <c r="V60" s="132"/>
      <c r="AA60" s="131"/>
    </row>
    <row r="61" spans="1:27" s="127" customFormat="1" ht="24.6" customHeight="1">
      <c r="A61" s="130">
        <v>57</v>
      </c>
      <c r="B61" s="134" t="s">
        <v>949</v>
      </c>
      <c r="C61" s="135">
        <v>1</v>
      </c>
      <c r="D61" s="135">
        <v>1</v>
      </c>
      <c r="E61" s="135"/>
      <c r="F61" s="135">
        <v>3</v>
      </c>
      <c r="G61" s="135"/>
      <c r="H61" s="135"/>
      <c r="I61" s="135"/>
      <c r="J61" s="135"/>
      <c r="K61" s="135"/>
      <c r="L61" s="135"/>
      <c r="M61" s="135">
        <f t="shared" ref="M61:M69" si="0">C61</f>
        <v>1</v>
      </c>
      <c r="N61" s="135">
        <v>3</v>
      </c>
      <c r="O61" s="135"/>
      <c r="P61" s="135"/>
      <c r="Q61" s="135"/>
      <c r="R61" s="135"/>
      <c r="S61" s="135"/>
      <c r="T61" s="436"/>
      <c r="U61" s="133"/>
      <c r="V61" s="132"/>
      <c r="AA61" s="131"/>
    </row>
    <row r="62" spans="1:27" s="127" customFormat="1" ht="24.6" customHeight="1">
      <c r="A62" s="130">
        <v>58</v>
      </c>
      <c r="B62" s="134" t="s">
        <v>948</v>
      </c>
      <c r="C62" s="135">
        <v>1</v>
      </c>
      <c r="D62" s="135">
        <v>1</v>
      </c>
      <c r="E62" s="135"/>
      <c r="F62" s="135"/>
      <c r="G62" s="135">
        <v>1</v>
      </c>
      <c r="H62" s="135"/>
      <c r="I62" s="135"/>
      <c r="J62" s="135"/>
      <c r="K62" s="135"/>
      <c r="L62" s="135"/>
      <c r="M62" s="135">
        <f t="shared" si="0"/>
        <v>1</v>
      </c>
      <c r="N62" s="135"/>
      <c r="O62" s="135">
        <v>1</v>
      </c>
      <c r="P62" s="135"/>
      <c r="Q62" s="135"/>
      <c r="R62" s="135"/>
      <c r="S62" s="135"/>
      <c r="T62" s="436"/>
      <c r="U62" s="133"/>
      <c r="V62" s="132"/>
      <c r="AA62" s="131"/>
    </row>
    <row r="63" spans="1:27" s="127" customFormat="1" ht="24.6" customHeight="1">
      <c r="A63" s="130">
        <v>59</v>
      </c>
      <c r="B63" s="134" t="s">
        <v>950</v>
      </c>
      <c r="C63" s="135">
        <v>1</v>
      </c>
      <c r="D63" s="135">
        <v>1</v>
      </c>
      <c r="E63" s="135"/>
      <c r="F63" s="135">
        <v>1</v>
      </c>
      <c r="G63" s="135"/>
      <c r="H63" s="135"/>
      <c r="I63" s="135"/>
      <c r="J63" s="135"/>
      <c r="K63" s="135"/>
      <c r="L63" s="135"/>
      <c r="M63" s="135">
        <f t="shared" si="0"/>
        <v>1</v>
      </c>
      <c r="N63" s="135">
        <v>1</v>
      </c>
      <c r="O63" s="135"/>
      <c r="P63" s="135"/>
      <c r="Q63" s="135"/>
      <c r="R63" s="135"/>
      <c r="S63" s="135"/>
      <c r="T63" s="436"/>
      <c r="U63" s="133"/>
      <c r="V63" s="132"/>
      <c r="AA63" s="131"/>
    </row>
    <row r="64" spans="1:27" s="127" customFormat="1" ht="24.6" customHeight="1">
      <c r="A64" s="130">
        <v>60</v>
      </c>
      <c r="B64" s="134" t="s">
        <v>1005</v>
      </c>
      <c r="C64" s="135">
        <v>1</v>
      </c>
      <c r="D64" s="135">
        <v>1</v>
      </c>
      <c r="E64" s="135"/>
      <c r="F64" s="135"/>
      <c r="G64" s="135">
        <v>1</v>
      </c>
      <c r="H64" s="135"/>
      <c r="I64" s="135"/>
      <c r="J64" s="135"/>
      <c r="K64" s="135"/>
      <c r="L64" s="135"/>
      <c r="M64" s="135">
        <f t="shared" si="0"/>
        <v>1</v>
      </c>
      <c r="N64" s="135"/>
      <c r="O64" s="135">
        <v>1</v>
      </c>
      <c r="P64" s="135"/>
      <c r="Q64" s="135"/>
      <c r="R64" s="135"/>
      <c r="S64" s="135"/>
      <c r="T64" s="436"/>
      <c r="U64" s="133"/>
      <c r="V64" s="132"/>
      <c r="AA64" s="131"/>
    </row>
    <row r="65" spans="1:27" s="127" customFormat="1" ht="24.6" customHeight="1">
      <c r="A65" s="130">
        <v>61</v>
      </c>
      <c r="B65" s="134" t="s">
        <v>947</v>
      </c>
      <c r="C65" s="135">
        <v>1</v>
      </c>
      <c r="D65" s="135">
        <v>1</v>
      </c>
      <c r="E65" s="135"/>
      <c r="F65" s="135"/>
      <c r="G65" s="135">
        <v>1</v>
      </c>
      <c r="H65" s="135"/>
      <c r="I65" s="135"/>
      <c r="J65" s="135"/>
      <c r="K65" s="135"/>
      <c r="L65" s="135"/>
      <c r="M65" s="135">
        <f t="shared" si="0"/>
        <v>1</v>
      </c>
      <c r="N65" s="135"/>
      <c r="O65" s="135">
        <v>1</v>
      </c>
      <c r="P65" s="135"/>
      <c r="Q65" s="135"/>
      <c r="R65" s="135"/>
      <c r="S65" s="135"/>
      <c r="T65" s="436"/>
      <c r="U65" s="133"/>
      <c r="V65" s="132"/>
      <c r="AA65" s="131"/>
    </row>
    <row r="66" spans="1:27" s="127" customFormat="1" ht="24.6" customHeight="1">
      <c r="A66" s="130">
        <v>62</v>
      </c>
      <c r="B66" s="134" t="s">
        <v>946</v>
      </c>
      <c r="C66" s="135">
        <v>1</v>
      </c>
      <c r="D66" s="135">
        <v>1</v>
      </c>
      <c r="E66" s="135"/>
      <c r="F66" s="135"/>
      <c r="G66" s="135">
        <v>1</v>
      </c>
      <c r="H66" s="135"/>
      <c r="I66" s="135"/>
      <c r="J66" s="135"/>
      <c r="K66" s="135"/>
      <c r="L66" s="135"/>
      <c r="M66" s="135">
        <f t="shared" si="0"/>
        <v>1</v>
      </c>
      <c r="N66" s="135"/>
      <c r="O66" s="135">
        <v>1</v>
      </c>
      <c r="P66" s="135"/>
      <c r="Q66" s="135"/>
      <c r="R66" s="135"/>
      <c r="S66" s="135"/>
      <c r="T66" s="436"/>
      <c r="U66" s="133"/>
      <c r="V66" s="132"/>
      <c r="AA66" s="131"/>
    </row>
    <row r="67" spans="1:27" s="127" customFormat="1" ht="24.6" customHeight="1">
      <c r="A67" s="130">
        <v>63</v>
      </c>
      <c r="B67" s="134" t="s">
        <v>944</v>
      </c>
      <c r="C67" s="135">
        <v>1</v>
      </c>
      <c r="D67" s="135">
        <v>1</v>
      </c>
      <c r="E67" s="135"/>
      <c r="F67" s="135"/>
      <c r="G67" s="135">
        <v>1</v>
      </c>
      <c r="H67" s="135"/>
      <c r="I67" s="135"/>
      <c r="J67" s="135"/>
      <c r="K67" s="135"/>
      <c r="L67" s="135"/>
      <c r="M67" s="135">
        <f t="shared" si="0"/>
        <v>1</v>
      </c>
      <c r="N67" s="135"/>
      <c r="O67" s="135">
        <v>1</v>
      </c>
      <c r="P67" s="135"/>
      <c r="Q67" s="135"/>
      <c r="R67" s="135"/>
      <c r="S67" s="135"/>
      <c r="T67" s="436"/>
      <c r="U67" s="133"/>
      <c r="V67" s="132"/>
      <c r="AA67" s="131"/>
    </row>
    <row r="68" spans="1:27" s="127" customFormat="1" ht="24.6" customHeight="1">
      <c r="A68" s="130">
        <v>64</v>
      </c>
      <c r="B68" s="134" t="s">
        <v>945</v>
      </c>
      <c r="C68" s="135">
        <v>1</v>
      </c>
      <c r="D68" s="135">
        <v>1</v>
      </c>
      <c r="E68" s="135"/>
      <c r="F68" s="135"/>
      <c r="G68" s="135">
        <v>1</v>
      </c>
      <c r="H68" s="135"/>
      <c r="I68" s="135"/>
      <c r="J68" s="135"/>
      <c r="K68" s="135"/>
      <c r="L68" s="135"/>
      <c r="M68" s="135">
        <f t="shared" si="0"/>
        <v>1</v>
      </c>
      <c r="N68" s="135"/>
      <c r="O68" s="135">
        <v>1</v>
      </c>
      <c r="P68" s="135"/>
      <c r="Q68" s="135"/>
      <c r="R68" s="135"/>
      <c r="S68" s="135"/>
      <c r="T68" s="436"/>
      <c r="U68" s="133"/>
      <c r="V68" s="132"/>
      <c r="AA68" s="131"/>
    </row>
    <row r="69" spans="1:27" s="127" customFormat="1" ht="24.6" customHeight="1">
      <c r="A69" s="130">
        <v>65</v>
      </c>
      <c r="B69" s="134" t="s">
        <v>943</v>
      </c>
      <c r="C69" s="135">
        <v>1</v>
      </c>
      <c r="D69" s="135">
        <v>1</v>
      </c>
      <c r="E69" s="135"/>
      <c r="F69" s="135"/>
      <c r="G69" s="135">
        <v>1</v>
      </c>
      <c r="H69" s="135"/>
      <c r="I69" s="135"/>
      <c r="J69" s="135"/>
      <c r="K69" s="135"/>
      <c r="L69" s="135"/>
      <c r="M69" s="135">
        <f t="shared" si="0"/>
        <v>1</v>
      </c>
      <c r="N69" s="135"/>
      <c r="O69" s="135">
        <v>1</v>
      </c>
      <c r="P69" s="135"/>
      <c r="Q69" s="135"/>
      <c r="R69" s="135"/>
      <c r="S69" s="135"/>
      <c r="T69" s="436"/>
      <c r="U69" s="133"/>
      <c r="V69" s="132"/>
      <c r="AA69" s="131"/>
    </row>
    <row r="70" spans="1:27" s="127" customFormat="1" ht="25.15" customHeight="1">
      <c r="A70" s="1011" t="s">
        <v>223</v>
      </c>
      <c r="B70" s="1011"/>
      <c r="C70" s="136">
        <f>SUM(C5:C69)</f>
        <v>9</v>
      </c>
      <c r="D70" s="136">
        <f t="shared" ref="D70:R70" si="1">SUM(D5:D69)</f>
        <v>9</v>
      </c>
      <c r="E70" s="136">
        <f>SUM(E5:E69)</f>
        <v>7</v>
      </c>
      <c r="F70" s="136">
        <f t="shared" si="1"/>
        <v>4</v>
      </c>
      <c r="G70" s="136">
        <f t="shared" si="1"/>
        <v>7</v>
      </c>
      <c r="H70" s="136">
        <f t="shared" si="1"/>
        <v>1</v>
      </c>
      <c r="I70" s="136">
        <f t="shared" si="1"/>
        <v>9</v>
      </c>
      <c r="J70" s="136">
        <f t="shared" si="1"/>
        <v>187</v>
      </c>
      <c r="K70" s="136">
        <f t="shared" si="1"/>
        <v>46</v>
      </c>
      <c r="L70" s="136">
        <f t="shared" si="1"/>
        <v>257</v>
      </c>
      <c r="M70" s="136">
        <f t="shared" si="1"/>
        <v>9</v>
      </c>
      <c r="N70" s="136">
        <f t="shared" si="1"/>
        <v>4</v>
      </c>
      <c r="O70" s="136">
        <f t="shared" si="1"/>
        <v>7</v>
      </c>
      <c r="P70" s="136">
        <f t="shared" si="1"/>
        <v>9</v>
      </c>
      <c r="Q70" s="136">
        <f t="shared" si="1"/>
        <v>187</v>
      </c>
      <c r="R70" s="136">
        <f t="shared" si="1"/>
        <v>46</v>
      </c>
      <c r="S70" s="136">
        <f>SUM(S5:S69)</f>
        <v>257</v>
      </c>
      <c r="T70" s="124"/>
      <c r="U70" s="125"/>
      <c r="V70" s="125"/>
      <c r="AA70" s="124"/>
    </row>
  </sheetData>
  <mergeCells count="8">
    <mergeCell ref="A1:T1"/>
    <mergeCell ref="A2:T2"/>
    <mergeCell ref="A70:B70"/>
    <mergeCell ref="A3:A4"/>
    <mergeCell ref="B3:B4"/>
    <mergeCell ref="T3:T4"/>
    <mergeCell ref="M3:S3"/>
    <mergeCell ref="C3:L3"/>
  </mergeCells>
  <printOptions horizontalCentered="1"/>
  <pageMargins left="0.75" right="0.2" top="0.38" bottom="0.45" header="0.3" footer="0.3"/>
  <pageSetup paperSize="9"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07D6A-A66D-417F-89C6-9ECB47F832EF}">
  <dimension ref="A1:H23"/>
  <sheetViews>
    <sheetView topLeftCell="A2" workbookViewId="0">
      <selection activeCell="E16" sqref="E16"/>
    </sheetView>
  </sheetViews>
  <sheetFormatPr defaultColWidth="12.6640625" defaultRowHeight="15.75"/>
  <cols>
    <col min="1" max="1" width="12.6640625" style="463"/>
    <col min="2" max="2" width="58.5" style="463" customWidth="1"/>
    <col min="3" max="3" width="16.83203125" style="463" customWidth="1"/>
    <col min="4" max="4" width="28.6640625" style="463" customWidth="1"/>
    <col min="5" max="5" width="20.5" style="463" customWidth="1"/>
    <col min="6" max="6" width="12.6640625" style="463"/>
    <col min="7" max="7" width="16.5" style="463" hidden="1" customWidth="1"/>
    <col min="8" max="8" width="25" style="463" hidden="1" customWidth="1"/>
    <col min="9" max="9" width="0" style="463" hidden="1" customWidth="1"/>
    <col min="10" max="10" width="13.83203125" style="463" bestFit="1" customWidth="1"/>
    <col min="11" max="16384" width="12.6640625" style="463"/>
  </cols>
  <sheetData>
    <row r="1" spans="1:5" ht="18.75">
      <c r="A1" s="462" t="s">
        <v>1205</v>
      </c>
    </row>
    <row r="2" spans="1:5" ht="18.75">
      <c r="A2" s="1045" t="s">
        <v>1159</v>
      </c>
      <c r="B2" s="1045"/>
      <c r="C2" s="1045"/>
      <c r="D2" s="1045"/>
      <c r="E2" s="1045"/>
    </row>
    <row r="3" spans="1:5" ht="18.75">
      <c r="A3" s="1045" t="s">
        <v>1160</v>
      </c>
      <c r="B3" s="1045"/>
      <c r="C3" s="1045"/>
      <c r="D3" s="1045"/>
      <c r="E3" s="1045"/>
    </row>
    <row r="4" spans="1:5" ht="18.75">
      <c r="A4" s="539"/>
      <c r="B4" s="539"/>
      <c r="C4" s="539"/>
      <c r="D4" s="539"/>
      <c r="E4" s="539"/>
    </row>
    <row r="5" spans="1:5" ht="23.25">
      <c r="A5" s="73" t="s">
        <v>1125</v>
      </c>
      <c r="B5" s="464"/>
      <c r="C5" s="465"/>
      <c r="D5" s="466"/>
      <c r="E5" s="467"/>
    </row>
    <row r="6" spans="1:5">
      <c r="A6" s="1046" t="s">
        <v>22</v>
      </c>
      <c r="B6" s="1046" t="s">
        <v>1161</v>
      </c>
      <c r="C6" s="1048" t="s">
        <v>1162</v>
      </c>
      <c r="D6" s="1046" t="s">
        <v>1128</v>
      </c>
      <c r="E6" s="1050" t="s">
        <v>1163</v>
      </c>
    </row>
    <row r="7" spans="1:5">
      <c r="A7" s="1047"/>
      <c r="B7" s="1047"/>
      <c r="C7" s="1049"/>
      <c r="D7" s="1047"/>
      <c r="E7" s="1051"/>
    </row>
    <row r="8" spans="1:5">
      <c r="A8" s="468" t="s">
        <v>40</v>
      </c>
      <c r="B8" s="469" t="s">
        <v>1164</v>
      </c>
      <c r="C8" s="468" t="s">
        <v>1165</v>
      </c>
      <c r="D8" s="470" t="s">
        <v>1166</v>
      </c>
      <c r="E8" s="471">
        <f>ROUND(SUM(E9,E14,E15,E16),0)</f>
        <v>27673533</v>
      </c>
    </row>
    <row r="9" spans="1:5" ht="17.25">
      <c r="A9" s="472">
        <v>1</v>
      </c>
      <c r="B9" s="473" t="s">
        <v>1167</v>
      </c>
      <c r="C9" s="474" t="s">
        <v>30</v>
      </c>
      <c r="D9" s="472" t="s">
        <v>1168</v>
      </c>
      <c r="E9" s="475">
        <f>ROUND(SUM(E10:E13),0)</f>
        <v>2067962</v>
      </c>
    </row>
    <row r="10" spans="1:5" ht="18.75">
      <c r="A10" s="472"/>
      <c r="B10" s="476" t="s">
        <v>1169</v>
      </c>
      <c r="C10" s="477" t="s">
        <v>1170</v>
      </c>
      <c r="D10" s="477" t="s">
        <v>1171</v>
      </c>
      <c r="E10" s="478">
        <f>+'3.THCPKĐ'!D7</f>
        <v>2067962.4418000001</v>
      </c>
    </row>
    <row r="11" spans="1:5" ht="18.75">
      <c r="A11" s="472"/>
      <c r="B11" s="476" t="s">
        <v>1172</v>
      </c>
      <c r="C11" s="477" t="s">
        <v>1173</v>
      </c>
      <c r="D11" s="477" t="s">
        <v>1171</v>
      </c>
      <c r="E11" s="478"/>
    </row>
    <row r="12" spans="1:5" ht="18.75">
      <c r="A12" s="472"/>
      <c r="B12" s="476" t="s">
        <v>1174</v>
      </c>
      <c r="C12" s="477" t="s">
        <v>1175</v>
      </c>
      <c r="D12" s="477" t="s">
        <v>1171</v>
      </c>
      <c r="E12" s="478"/>
    </row>
    <row r="13" spans="1:5" ht="18.75">
      <c r="A13" s="472"/>
      <c r="B13" s="476" t="s">
        <v>1176</v>
      </c>
      <c r="C13" s="477" t="s">
        <v>1177</v>
      </c>
      <c r="D13" s="477" t="s">
        <v>1171</v>
      </c>
      <c r="E13" s="478"/>
    </row>
    <row r="14" spans="1:5" ht="18.75">
      <c r="A14" s="472">
        <v>2</v>
      </c>
      <c r="B14" s="473" t="s">
        <v>1178</v>
      </c>
      <c r="C14" s="472" t="s">
        <v>1179</v>
      </c>
      <c r="D14" s="477" t="s">
        <v>1171</v>
      </c>
      <c r="E14" s="479"/>
    </row>
    <row r="15" spans="1:5">
      <c r="A15" s="472">
        <v>3</v>
      </c>
      <c r="B15" s="473" t="s">
        <v>1180</v>
      </c>
      <c r="C15" s="472" t="s">
        <v>525</v>
      </c>
      <c r="D15" s="477" t="s">
        <v>1171</v>
      </c>
      <c r="E15" s="480">
        <f>+'3.THCPKĐ'!E7</f>
        <v>23471948.899999999</v>
      </c>
    </row>
    <row r="16" spans="1:5">
      <c r="A16" s="472">
        <v>4</v>
      </c>
      <c r="B16" s="473" t="s">
        <v>1181</v>
      </c>
      <c r="C16" s="472" t="s">
        <v>526</v>
      </c>
      <c r="D16" s="477" t="s">
        <v>1171</v>
      </c>
      <c r="E16" s="480">
        <f>+'3.THCPKĐ'!F7</f>
        <v>2133622.1455999995</v>
      </c>
    </row>
    <row r="17" spans="1:8" ht="18.75">
      <c r="A17" s="474" t="s">
        <v>41</v>
      </c>
      <c r="B17" s="481" t="s">
        <v>1182</v>
      </c>
      <c r="C17" s="474" t="s">
        <v>1183</v>
      </c>
      <c r="D17" s="474" t="s">
        <v>26</v>
      </c>
      <c r="E17" s="475">
        <f>ROUND(SUM(E18:E18),0)</f>
        <v>15256767</v>
      </c>
      <c r="H17" s="482"/>
    </row>
    <row r="18" spans="1:8" ht="18.75">
      <c r="A18" s="472">
        <v>1</v>
      </c>
      <c r="B18" s="473" t="s">
        <v>1184</v>
      </c>
      <c r="C18" s="472" t="s">
        <v>26</v>
      </c>
      <c r="D18" s="472" t="s">
        <v>1185</v>
      </c>
      <c r="E18" s="483">
        <f>+E15*65%</f>
        <v>15256766.785</v>
      </c>
      <c r="H18" s="482"/>
    </row>
    <row r="19" spans="1:8">
      <c r="A19" s="474" t="s">
        <v>45</v>
      </c>
      <c r="B19" s="484" t="s">
        <v>1186</v>
      </c>
      <c r="C19" s="474" t="s">
        <v>247</v>
      </c>
      <c r="D19" s="485" t="s">
        <v>1187</v>
      </c>
      <c r="E19" s="486">
        <f>+(E8+E17)*6%</f>
        <v>2575818</v>
      </c>
    </row>
    <row r="20" spans="1:8" ht="31.5" hidden="1">
      <c r="A20" s="474" t="s">
        <v>46</v>
      </c>
      <c r="B20" s="487" t="s">
        <v>1188</v>
      </c>
      <c r="C20" s="474" t="s">
        <v>1189</v>
      </c>
      <c r="D20" s="474" t="s">
        <v>1190</v>
      </c>
      <c r="E20" s="486">
        <f>3.7%*(E8+E17+E19)*0</f>
        <v>0</v>
      </c>
      <c r="F20" s="463" t="s">
        <v>1191</v>
      </c>
    </row>
    <row r="21" spans="1:8">
      <c r="A21" s="474"/>
      <c r="B21" s="484" t="s">
        <v>1192</v>
      </c>
      <c r="C21" s="474" t="s">
        <v>97</v>
      </c>
      <c r="D21" s="472" t="s">
        <v>1193</v>
      </c>
      <c r="E21" s="475">
        <f>ROUND(SUM(E8,E17,E19,E20),0)</f>
        <v>45506118</v>
      </c>
    </row>
    <row r="22" spans="1:8">
      <c r="A22" s="474"/>
      <c r="B22" s="488"/>
      <c r="C22" s="474"/>
      <c r="D22" s="489"/>
      <c r="E22" s="480"/>
    </row>
    <row r="23" spans="1:8">
      <c r="A23" s="490"/>
      <c r="B23" s="491"/>
      <c r="C23" s="490"/>
      <c r="D23" s="492"/>
      <c r="E23" s="493"/>
      <c r="H23" s="494"/>
    </row>
  </sheetData>
  <mergeCells count="7">
    <mergeCell ref="A2:E2"/>
    <mergeCell ref="A3:E3"/>
    <mergeCell ref="A6:A7"/>
    <mergeCell ref="B6:B7"/>
    <mergeCell ref="C6:C7"/>
    <mergeCell ref="D6:D7"/>
    <mergeCell ref="E6:E7"/>
  </mergeCells>
  <printOptions horizontalCentered="1"/>
  <pageMargins left="0.7" right="0.7" top="0.75" bottom="0.75" header="0.3" footer="0.3"/>
  <pageSetup paperSize="9"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3C777-29EB-4C3F-8D2E-0EE669A1E7A4}">
  <dimension ref="A1:L7"/>
  <sheetViews>
    <sheetView workbookViewId="0">
      <selection activeCell="E18" sqref="E18"/>
    </sheetView>
  </sheetViews>
  <sheetFormatPr defaultColWidth="9.33203125" defaultRowHeight="12.75"/>
  <cols>
    <col min="1" max="1" width="7.83203125" style="533" customWidth="1"/>
    <col min="2" max="2" width="25.5" style="533" customWidth="1"/>
    <col min="3" max="3" width="13.6640625" style="533" customWidth="1"/>
    <col min="4" max="4" width="15.6640625" style="533" customWidth="1"/>
    <col min="5" max="5" width="15" style="533" customWidth="1"/>
    <col min="6" max="6" width="13.83203125" style="533" customWidth="1"/>
    <col min="7" max="7" width="11.6640625" style="533" customWidth="1"/>
    <col min="8" max="16384" width="9.33203125" style="312"/>
  </cols>
  <sheetData>
    <row r="1" spans="1:12" ht="21" customHeight="1">
      <c r="A1" s="1052" t="s">
        <v>1134</v>
      </c>
      <c r="B1" s="1052"/>
      <c r="C1" s="1052"/>
      <c r="D1" s="1052"/>
      <c r="E1" s="1052"/>
      <c r="F1" s="1052"/>
      <c r="G1" s="1052"/>
    </row>
    <row r="2" spans="1:12" ht="21" customHeight="1">
      <c r="A2" s="73"/>
      <c r="B2" s="73"/>
      <c r="C2" s="73"/>
      <c r="D2" s="73"/>
      <c r="E2" s="73"/>
      <c r="F2" s="73"/>
      <c r="G2" s="73"/>
      <c r="H2" s="73"/>
      <c r="I2" s="73"/>
      <c r="J2" s="73"/>
      <c r="K2" s="73"/>
      <c r="L2" s="73"/>
    </row>
    <row r="4" spans="1:12" s="73" customFormat="1" ht="18.75" customHeight="1">
      <c r="A4" s="1053" t="s">
        <v>22</v>
      </c>
      <c r="B4" s="1053" t="s">
        <v>1127</v>
      </c>
      <c r="C4" s="1053" t="s">
        <v>1128</v>
      </c>
      <c r="D4" s="1053" t="s">
        <v>1129</v>
      </c>
      <c r="E4" s="1053"/>
      <c r="F4" s="1053"/>
      <c r="G4" s="1053" t="s">
        <v>1130</v>
      </c>
    </row>
    <row r="5" spans="1:12" s="73" customFormat="1" ht="15" customHeight="1">
      <c r="A5" s="1053"/>
      <c r="B5" s="1053"/>
      <c r="C5" s="1053"/>
      <c r="D5" s="449" t="s">
        <v>30</v>
      </c>
      <c r="E5" s="449" t="s">
        <v>525</v>
      </c>
      <c r="F5" s="449" t="s">
        <v>33</v>
      </c>
      <c r="G5" s="1053"/>
    </row>
    <row r="6" spans="1:12" s="73" customFormat="1" ht="18" customHeight="1">
      <c r="A6" s="449" t="s">
        <v>40</v>
      </c>
      <c r="B6" s="449" t="s">
        <v>1131</v>
      </c>
      <c r="C6" s="449"/>
      <c r="D6" s="450">
        <f>D7</f>
        <v>2067962.4418000001</v>
      </c>
      <c r="E6" s="450">
        <f t="shared" ref="E6:F6" si="0">E7</f>
        <v>23471948.899999999</v>
      </c>
      <c r="F6" s="450">
        <f t="shared" si="0"/>
        <v>2133622.1455999995</v>
      </c>
      <c r="G6" s="449"/>
    </row>
    <row r="7" spans="1:12" ht="18" customHeight="1">
      <c r="A7" s="531">
        <v>1</v>
      </c>
      <c r="B7" s="531" t="s">
        <v>1132</v>
      </c>
      <c r="C7" s="531" t="s">
        <v>1133</v>
      </c>
      <c r="D7" s="535">
        <f>'Thop-Thí nghiệm'!I8</f>
        <v>2067962.4418000001</v>
      </c>
      <c r="E7" s="535">
        <f>'Thop-Thí nghiệm'!K8</f>
        <v>23471948.899999999</v>
      </c>
      <c r="F7" s="535">
        <f>'Thop-Thí nghiệm'!L8</f>
        <v>2133622.1455999995</v>
      </c>
      <c r="G7" s="531"/>
    </row>
  </sheetData>
  <mergeCells count="6">
    <mergeCell ref="A1:G1"/>
    <mergeCell ref="D4:F4"/>
    <mergeCell ref="C4:C5"/>
    <mergeCell ref="B4:B5"/>
    <mergeCell ref="A4:A5"/>
    <mergeCell ref="G4:G5"/>
  </mergeCells>
  <printOptions horizontalCentered="1"/>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54B2C-F042-42C7-AC4F-8D3FF3A853D3}">
  <dimension ref="A1:L12"/>
  <sheetViews>
    <sheetView workbookViewId="0">
      <selection activeCell="H19" sqref="H19"/>
    </sheetView>
  </sheetViews>
  <sheetFormatPr defaultColWidth="9.33203125" defaultRowHeight="12.75"/>
  <cols>
    <col min="1" max="1" width="7.1640625" style="452" customWidth="1"/>
    <col min="2" max="2" width="36" style="452" customWidth="1"/>
    <col min="3" max="8" width="11.1640625" style="452" customWidth="1"/>
    <col min="9" max="9" width="11.83203125" style="452" bestFit="1" customWidth="1"/>
    <col min="10" max="10" width="11.1640625" style="452" customWidth="1"/>
    <col min="11" max="11" width="13.5" style="452" customWidth="1"/>
    <col min="12" max="12" width="13.6640625" style="452" customWidth="1"/>
    <col min="13" max="16384" width="9.33203125" style="452"/>
  </cols>
  <sheetData>
    <row r="1" spans="1:12" s="73" customFormat="1">
      <c r="A1" s="1052"/>
      <c r="B1" s="1052"/>
      <c r="C1" s="1052"/>
      <c r="D1" s="1052"/>
      <c r="E1" s="1052"/>
      <c r="F1" s="1052"/>
      <c r="G1" s="1052"/>
      <c r="H1" s="1052"/>
      <c r="I1" s="1052"/>
      <c r="J1" s="1052"/>
      <c r="K1" s="1052"/>
      <c r="L1" s="1052"/>
    </row>
    <row r="2" spans="1:12" s="73" customFormat="1">
      <c r="A2" s="1052" t="s">
        <v>1124</v>
      </c>
      <c r="B2" s="1052"/>
      <c r="C2" s="1052"/>
      <c r="D2" s="1052"/>
      <c r="E2" s="1052"/>
      <c r="F2" s="1052"/>
      <c r="G2" s="1052"/>
      <c r="H2" s="1052"/>
      <c r="I2" s="1052"/>
      <c r="J2" s="1052"/>
      <c r="K2" s="1052"/>
      <c r="L2" s="1052"/>
    </row>
    <row r="3" spans="1:12" s="73" customFormat="1">
      <c r="A3" s="1052" t="s">
        <v>1125</v>
      </c>
      <c r="B3" s="1052"/>
      <c r="C3" s="1052"/>
      <c r="D3" s="1052"/>
      <c r="E3" s="1052"/>
      <c r="F3" s="1052"/>
      <c r="G3" s="1052"/>
      <c r="H3" s="1052"/>
      <c r="I3" s="1052"/>
      <c r="J3" s="1052"/>
      <c r="K3" s="1052"/>
      <c r="L3" s="1052"/>
    </row>
    <row r="4" spans="1:12" s="73" customFormat="1">
      <c r="A4" s="446"/>
      <c r="B4" s="446"/>
      <c r="C4" s="446"/>
      <c r="D4" s="446"/>
      <c r="E4" s="446"/>
      <c r="F4" s="446"/>
      <c r="G4" s="446"/>
      <c r="H4" s="446"/>
      <c r="I4" s="446"/>
      <c r="J4" s="446"/>
      <c r="K4" s="446"/>
      <c r="L4" s="446"/>
    </row>
    <row r="5" spans="1:12">
      <c r="A5" s="457"/>
      <c r="B5" s="457"/>
      <c r="C5" s="457"/>
      <c r="D5" s="457"/>
      <c r="E5" s="457"/>
      <c r="F5" s="457"/>
      <c r="G5" s="457"/>
      <c r="H5" s="457"/>
      <c r="I5" s="457"/>
      <c r="J5" s="457"/>
      <c r="K5" s="457"/>
      <c r="L5" s="457"/>
    </row>
    <row r="6" spans="1:12" ht="26.45" customHeight="1">
      <c r="A6" s="1054" t="s">
        <v>83</v>
      </c>
      <c r="B6" s="1054" t="s">
        <v>53</v>
      </c>
      <c r="C6" s="1054" t="s">
        <v>47</v>
      </c>
      <c r="D6" s="1054" t="s">
        <v>1068</v>
      </c>
      <c r="E6" s="1056" t="s">
        <v>1069</v>
      </c>
      <c r="F6" s="1057"/>
      <c r="G6" s="1057"/>
      <c r="H6" s="1058"/>
      <c r="I6" s="1056" t="s">
        <v>1070</v>
      </c>
      <c r="J6" s="1057"/>
      <c r="K6" s="1057"/>
      <c r="L6" s="1058"/>
    </row>
    <row r="7" spans="1:12" ht="38.25">
      <c r="A7" s="1055"/>
      <c r="B7" s="1055"/>
      <c r="C7" s="1055"/>
      <c r="D7" s="1055"/>
      <c r="E7" s="445" t="s">
        <v>1071</v>
      </c>
      <c r="F7" s="445" t="s">
        <v>1072</v>
      </c>
      <c r="G7" s="445" t="s">
        <v>85</v>
      </c>
      <c r="H7" s="445" t="s">
        <v>33</v>
      </c>
      <c r="I7" s="445" t="s">
        <v>1071</v>
      </c>
      <c r="J7" s="445" t="s">
        <v>1072</v>
      </c>
      <c r="K7" s="445" t="s">
        <v>85</v>
      </c>
      <c r="L7" s="445" t="s">
        <v>33</v>
      </c>
    </row>
    <row r="8" spans="1:12" s="73" customFormat="1" ht="21" customHeight="1">
      <c r="A8" s="449" t="s">
        <v>40</v>
      </c>
      <c r="B8" s="460" t="s">
        <v>1126</v>
      </c>
      <c r="C8" s="460"/>
      <c r="D8" s="460"/>
      <c r="E8" s="460"/>
      <c r="F8" s="460"/>
      <c r="G8" s="460"/>
      <c r="H8" s="460"/>
      <c r="I8" s="450">
        <f>SUM(I9:I12)</f>
        <v>2067962.4418000001</v>
      </c>
      <c r="J8" s="450">
        <f t="shared" ref="J8:L8" si="0">SUM(J9:J12)</f>
        <v>0</v>
      </c>
      <c r="K8" s="450">
        <f t="shared" si="0"/>
        <v>23471948.899999999</v>
      </c>
      <c r="L8" s="450">
        <f t="shared" si="0"/>
        <v>2133622.1455999995</v>
      </c>
    </row>
    <row r="9" spans="1:12" ht="21" customHeight="1">
      <c r="A9" s="447">
        <v>1</v>
      </c>
      <c r="B9" s="538" t="s">
        <v>1206</v>
      </c>
      <c r="C9" s="447" t="s">
        <v>51</v>
      </c>
      <c r="D9" s="447">
        <v>1</v>
      </c>
      <c r="E9" s="448">
        <f>+'Bang tong hop Kiem dinh (TT05)'!I29</f>
        <v>10597.259</v>
      </c>
      <c r="F9" s="448">
        <f>+'Bang tong hop Kiem dinh (TT05)'!J29</f>
        <v>0</v>
      </c>
      <c r="G9" s="448">
        <f>+'Bang tong hop Kiem dinh (TT05)'!K29</f>
        <v>98678.44</v>
      </c>
      <c r="H9" s="448">
        <f>+'Bang tong hop Kiem dinh (TT05)'!L29</f>
        <v>19008.512499999997</v>
      </c>
      <c r="I9" s="448">
        <f t="shared" ref="I9:I11" si="1">E9*D9</f>
        <v>10597.259</v>
      </c>
      <c r="J9" s="448">
        <f t="shared" ref="J9:J11" si="2">F9*D9</f>
        <v>0</v>
      </c>
      <c r="K9" s="448">
        <f t="shared" ref="K9:K11" si="3">G9*D9</f>
        <v>98678.44</v>
      </c>
      <c r="L9" s="448">
        <f t="shared" ref="L9:L11" si="4">H9*D9</f>
        <v>19008.512499999997</v>
      </c>
    </row>
    <row r="10" spans="1:12" ht="21" customHeight="1">
      <c r="A10" s="447">
        <v>2</v>
      </c>
      <c r="B10" s="461" t="s">
        <v>1103</v>
      </c>
      <c r="C10" s="447" t="s">
        <v>51</v>
      </c>
      <c r="D10" s="447">
        <f>+'TK TA'!AT146-'Thop-Thí nghiệm'!D9</f>
        <v>53</v>
      </c>
      <c r="E10" s="448">
        <f>+E9*0.8</f>
        <v>8477.8072000000011</v>
      </c>
      <c r="F10" s="448">
        <f t="shared" ref="F10:H10" si="5">+F9*0.8</f>
        <v>0</v>
      </c>
      <c r="G10" s="448">
        <f t="shared" si="5"/>
        <v>78942.752000000008</v>
      </c>
      <c r="H10" s="448">
        <f t="shared" si="5"/>
        <v>15206.809999999998</v>
      </c>
      <c r="I10" s="448">
        <f t="shared" ref="I10" si="6">E10*D10</f>
        <v>449323.78160000005</v>
      </c>
      <c r="J10" s="448">
        <f t="shared" ref="J10" si="7">F10*D10</f>
        <v>0</v>
      </c>
      <c r="K10" s="448">
        <f t="shared" ref="K10" si="8">G10*D10</f>
        <v>4183965.8560000006</v>
      </c>
      <c r="L10" s="448">
        <f t="shared" ref="L10" si="9">H10*D10</f>
        <v>805960.92999999993</v>
      </c>
    </row>
    <row r="11" spans="1:12" ht="21" customHeight="1">
      <c r="A11" s="447">
        <v>3</v>
      </c>
      <c r="B11" s="461" t="str">
        <f>'[4]Bang tong hop Kiem dinh (TT05)'!C53</f>
        <v>Kiểm định dao cách ly</v>
      </c>
      <c r="C11" s="447" t="s">
        <v>51</v>
      </c>
      <c r="D11" s="447">
        <f>'TK TA'!AU146+'TK TA'!AV146</f>
        <v>27</v>
      </c>
      <c r="E11" s="448">
        <f>'Bang tong hop Kiem dinh (TT05)'!I41</f>
        <v>2613.7556</v>
      </c>
      <c r="F11" s="448">
        <f>'Bang tong hop Kiem dinh (TT05)'!J41</f>
        <v>0</v>
      </c>
      <c r="G11" s="448">
        <f>'Bang tong hop Kiem dinh (TT05)'!K41</f>
        <v>435104.35199999996</v>
      </c>
      <c r="H11" s="448">
        <f>'Bang tong hop Kiem dinh (TT05)'!L41</f>
        <v>27059.487799999999</v>
      </c>
      <c r="I11" s="448">
        <f t="shared" si="1"/>
        <v>70571.401199999993</v>
      </c>
      <c r="J11" s="448">
        <f t="shared" si="2"/>
        <v>0</v>
      </c>
      <c r="K11" s="448">
        <f t="shared" si="3"/>
        <v>11747817.503999999</v>
      </c>
      <c r="L11" s="448">
        <f t="shared" si="4"/>
        <v>730606.17059999995</v>
      </c>
    </row>
    <row r="12" spans="1:12" ht="21" customHeight="1">
      <c r="A12" s="447">
        <v>4</v>
      </c>
      <c r="B12" s="461" t="s">
        <v>1210</v>
      </c>
      <c r="C12" s="447" t="s">
        <v>1212</v>
      </c>
      <c r="D12" s="447">
        <f>'TK TA'!D146</f>
        <v>9</v>
      </c>
      <c r="E12" s="448">
        <f>'Bang tong hop Kiem dinh (TT05)'!I56</f>
        <v>170830</v>
      </c>
      <c r="F12" s="448">
        <f>'Bang tong hop Kiem dinh (TT05)'!J56</f>
        <v>0</v>
      </c>
      <c r="G12" s="448">
        <f>'Bang tong hop Kiem dinh (TT05)'!K56</f>
        <v>826831.89999999991</v>
      </c>
      <c r="H12" s="448">
        <f>'Bang tong hop Kiem dinh (TT05)'!L56</f>
        <v>64227.392500000002</v>
      </c>
      <c r="I12" s="448">
        <f t="shared" ref="I12" si="10">E12*D12</f>
        <v>1537470</v>
      </c>
      <c r="J12" s="448">
        <f>F12*D12</f>
        <v>0</v>
      </c>
      <c r="K12" s="448">
        <f>G12*D12</f>
        <v>7441487.0999999996</v>
      </c>
      <c r="L12" s="448">
        <f t="shared" ref="L12" si="11">H12*D12</f>
        <v>578046.53249999997</v>
      </c>
    </row>
  </sheetData>
  <mergeCells count="9">
    <mergeCell ref="A1:L1"/>
    <mergeCell ref="A2:L2"/>
    <mergeCell ref="A3:L3"/>
    <mergeCell ref="A6:A7"/>
    <mergeCell ref="B6:B7"/>
    <mergeCell ref="C6:C7"/>
    <mergeCell ref="D6:D7"/>
    <mergeCell ref="E6:H6"/>
    <mergeCell ref="I6:L6"/>
  </mergeCells>
  <printOptions horizontalCentered="1"/>
  <pageMargins left="0.2" right="0.2"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2AAD-89CA-444E-8BB9-35AEDE5FBA91}">
  <dimension ref="A1:M107"/>
  <sheetViews>
    <sheetView topLeftCell="A44" zoomScale="110" zoomScaleNormal="110" workbookViewId="0">
      <selection activeCell="B51" sqref="B51"/>
    </sheetView>
  </sheetViews>
  <sheetFormatPr defaultColWidth="9.33203125" defaultRowHeight="12.75"/>
  <cols>
    <col min="1" max="1" width="12.1640625" style="533" customWidth="1"/>
    <col min="2" max="2" width="44.1640625" style="536" customWidth="1"/>
    <col min="3" max="3" width="10.33203125" style="533" customWidth="1"/>
    <col min="4" max="7" width="10.33203125" style="312" customWidth="1"/>
    <col min="8" max="8" width="12.33203125" style="312" customWidth="1"/>
    <col min="9" max="9" width="12.83203125" style="312" customWidth="1"/>
    <col min="10" max="10" width="13.6640625" style="312" customWidth="1"/>
    <col min="11" max="11" width="14.5" style="312" customWidth="1"/>
    <col min="12" max="12" width="16.6640625" style="312" customWidth="1"/>
    <col min="13" max="16384" width="9.33203125" style="312"/>
  </cols>
  <sheetData>
    <row r="1" spans="1:12">
      <c r="A1" s="1052"/>
      <c r="B1" s="1052"/>
      <c r="C1" s="1052"/>
      <c r="D1" s="1052"/>
      <c r="E1" s="1052"/>
      <c r="F1" s="1052"/>
      <c r="G1" s="1052"/>
      <c r="H1" s="1052"/>
      <c r="I1" s="1052"/>
      <c r="J1" s="1052"/>
      <c r="K1" s="1052"/>
      <c r="L1" s="1052"/>
    </row>
    <row r="2" spans="1:12" ht="18.600000000000001" customHeight="1">
      <c r="A2" s="1052" t="s">
        <v>1066</v>
      </c>
      <c r="B2" s="1052"/>
      <c r="C2" s="1052"/>
      <c r="D2" s="1052"/>
      <c r="E2" s="1052"/>
      <c r="F2" s="1052"/>
      <c r="G2" s="1052"/>
      <c r="H2" s="1052"/>
      <c r="I2" s="1052"/>
      <c r="J2" s="1052"/>
      <c r="K2" s="1052"/>
      <c r="L2" s="1052"/>
    </row>
    <row r="3" spans="1:12">
      <c r="A3" s="1052" t="s">
        <v>1067</v>
      </c>
      <c r="B3" s="1052"/>
      <c r="C3" s="1052"/>
      <c r="D3" s="1052"/>
      <c r="E3" s="1052"/>
      <c r="F3" s="1052"/>
      <c r="G3" s="1052"/>
      <c r="H3" s="1052"/>
      <c r="I3" s="1052"/>
      <c r="J3" s="1052"/>
      <c r="K3" s="1052"/>
      <c r="L3" s="1052"/>
    </row>
    <row r="5" spans="1:12" s="446" customFormat="1">
      <c r="A5" s="1053" t="s">
        <v>83</v>
      </c>
      <c r="B5" s="1059" t="s">
        <v>53</v>
      </c>
      <c r="C5" s="1053" t="s">
        <v>47</v>
      </c>
      <c r="D5" s="1053" t="s">
        <v>1068</v>
      </c>
      <c r="E5" s="1059" t="s">
        <v>1069</v>
      </c>
      <c r="F5" s="1059"/>
      <c r="G5" s="1059"/>
      <c r="H5" s="1059"/>
      <c r="I5" s="1059" t="s">
        <v>1070</v>
      </c>
      <c r="J5" s="1059"/>
      <c r="K5" s="1059"/>
      <c r="L5" s="1059"/>
    </row>
    <row r="6" spans="1:12" s="446" customFormat="1" ht="52.15" customHeight="1">
      <c r="A6" s="1053"/>
      <c r="B6" s="1059"/>
      <c r="C6" s="1053"/>
      <c r="D6" s="1053"/>
      <c r="E6" s="445" t="s">
        <v>1071</v>
      </c>
      <c r="F6" s="445" t="s">
        <v>1072</v>
      </c>
      <c r="G6" s="445" t="s">
        <v>85</v>
      </c>
      <c r="H6" s="445" t="s">
        <v>33</v>
      </c>
      <c r="I6" s="445" t="str">
        <f>+E6</f>
        <v>VL trong định mức</v>
      </c>
      <c r="J6" s="445" t="str">
        <f>+F6</f>
        <v>VL thuộc đối tượng lắp đặt</v>
      </c>
      <c r="K6" s="445" t="s">
        <v>85</v>
      </c>
      <c r="L6" s="445" t="s">
        <v>33</v>
      </c>
    </row>
    <row r="7" spans="1:12" s="533" customFormat="1" ht="19.899999999999999" customHeight="1">
      <c r="A7" s="531">
        <v>1</v>
      </c>
      <c r="B7" s="532">
        <v>2</v>
      </c>
      <c r="C7" s="531">
        <v>3</v>
      </c>
      <c r="D7" s="531">
        <v>4</v>
      </c>
      <c r="E7" s="531">
        <v>5</v>
      </c>
      <c r="F7" s="531">
        <v>6</v>
      </c>
      <c r="G7" s="531">
        <v>7</v>
      </c>
      <c r="H7" s="531">
        <v>8</v>
      </c>
      <c r="I7" s="531" t="s">
        <v>62</v>
      </c>
      <c r="J7" s="531" t="s">
        <v>63</v>
      </c>
      <c r="K7" s="531" t="s">
        <v>64</v>
      </c>
      <c r="L7" s="531" t="s">
        <v>65</v>
      </c>
    </row>
    <row r="8" spans="1:12" s="73" customFormat="1">
      <c r="A8" s="449" t="s">
        <v>40</v>
      </c>
      <c r="B8" s="529" t="s">
        <v>1073</v>
      </c>
      <c r="C8" s="449"/>
      <c r="D8" s="460"/>
      <c r="E8" s="460"/>
      <c r="F8" s="460"/>
      <c r="G8" s="460"/>
      <c r="H8" s="460"/>
      <c r="I8" s="460"/>
      <c r="J8" s="460"/>
      <c r="K8" s="460"/>
      <c r="L8" s="460"/>
    </row>
    <row r="9" spans="1:12" s="73" customFormat="1" ht="14.25" hidden="1">
      <c r="A9" s="449" t="s">
        <v>1074</v>
      </c>
      <c r="B9" s="529" t="s">
        <v>1075</v>
      </c>
      <c r="C9" s="449"/>
      <c r="D9" s="460"/>
      <c r="E9" s="450"/>
      <c r="F9" s="450"/>
      <c r="G9" s="450"/>
      <c r="H9" s="450"/>
      <c r="I9" s="450">
        <f>SUM(I10:I16)</f>
        <v>26591.893</v>
      </c>
      <c r="J9" s="450">
        <f>J10</f>
        <v>0</v>
      </c>
      <c r="K9" s="450">
        <f>K17</f>
        <v>2488245.4515</v>
      </c>
      <c r="L9" s="450">
        <f>L20</f>
        <v>280305.97899999999</v>
      </c>
    </row>
    <row r="10" spans="1:12" s="73" customFormat="1" ht="14.25" hidden="1">
      <c r="A10" s="449"/>
      <c r="B10" s="529" t="s">
        <v>283</v>
      </c>
      <c r="C10" s="449"/>
      <c r="D10" s="460"/>
      <c r="E10" s="450"/>
      <c r="F10" s="450"/>
      <c r="G10" s="450"/>
      <c r="H10" s="450"/>
      <c r="I10" s="450"/>
      <c r="J10" s="450"/>
      <c r="K10" s="450"/>
      <c r="L10" s="450"/>
    </row>
    <row r="11" spans="1:12" ht="15" hidden="1">
      <c r="A11" s="531"/>
      <c r="B11" s="530" t="s">
        <v>1076</v>
      </c>
      <c r="C11" s="531" t="s">
        <v>1077</v>
      </c>
      <c r="D11" s="534">
        <v>5.8310000000000004</v>
      </c>
      <c r="E11" s="535">
        <v>2103</v>
      </c>
      <c r="F11" s="535"/>
      <c r="G11" s="535"/>
      <c r="H11" s="535"/>
      <c r="I11" s="535">
        <f t="shared" ref="I11:I16" si="0">D11*E11</f>
        <v>12262.593000000001</v>
      </c>
      <c r="J11" s="535">
        <f t="shared" ref="J11:J16" si="1">D11*F11</f>
        <v>0</v>
      </c>
      <c r="K11" s="535">
        <f t="shared" ref="K11:K16" si="2">D11*G11</f>
        <v>0</v>
      </c>
      <c r="L11" s="535">
        <f t="shared" ref="L11:L16" si="3">D11*H11</f>
        <v>0</v>
      </c>
    </row>
    <row r="12" spans="1:12" ht="15" hidden="1">
      <c r="A12" s="531"/>
      <c r="B12" s="530" t="s">
        <v>1078</v>
      </c>
      <c r="C12" s="531" t="s">
        <v>89</v>
      </c>
      <c r="D12" s="534">
        <v>0.17509999999999998</v>
      </c>
      <c r="E12" s="535">
        <v>38000</v>
      </c>
      <c r="F12" s="535"/>
      <c r="G12" s="535"/>
      <c r="H12" s="535"/>
      <c r="I12" s="535">
        <f t="shared" si="0"/>
        <v>6653.7999999999993</v>
      </c>
      <c r="J12" s="535">
        <f t="shared" si="1"/>
        <v>0</v>
      </c>
      <c r="K12" s="535">
        <f t="shared" si="2"/>
        <v>0</v>
      </c>
      <c r="L12" s="535">
        <f t="shared" si="3"/>
        <v>0</v>
      </c>
    </row>
    <row r="13" spans="1:12" ht="15" hidden="1">
      <c r="A13" s="531"/>
      <c r="B13" s="530" t="s">
        <v>1079</v>
      </c>
      <c r="C13" s="531" t="s">
        <v>99</v>
      </c>
      <c r="D13" s="534">
        <v>0.1462</v>
      </c>
      <c r="E13" s="535">
        <v>25000</v>
      </c>
      <c r="F13" s="535"/>
      <c r="G13" s="535"/>
      <c r="H13" s="535"/>
      <c r="I13" s="535">
        <f t="shared" si="0"/>
        <v>3655</v>
      </c>
      <c r="J13" s="535">
        <f t="shared" si="1"/>
        <v>0</v>
      </c>
      <c r="K13" s="535">
        <f t="shared" si="2"/>
        <v>0</v>
      </c>
      <c r="L13" s="535">
        <f t="shared" si="3"/>
        <v>0</v>
      </c>
    </row>
    <row r="14" spans="1:12" ht="15" hidden="1">
      <c r="A14" s="531"/>
      <c r="B14" s="530" t="s">
        <v>1080</v>
      </c>
      <c r="C14" s="531" t="s">
        <v>89</v>
      </c>
      <c r="D14" s="534">
        <v>0.1462</v>
      </c>
      <c r="E14" s="535">
        <v>25000</v>
      </c>
      <c r="F14" s="535"/>
      <c r="G14" s="535"/>
      <c r="H14" s="535"/>
      <c r="I14" s="535">
        <f t="shared" si="0"/>
        <v>3655</v>
      </c>
      <c r="J14" s="535">
        <f t="shared" si="1"/>
        <v>0</v>
      </c>
      <c r="K14" s="535">
        <f t="shared" si="2"/>
        <v>0</v>
      </c>
      <c r="L14" s="535">
        <f t="shared" si="3"/>
        <v>0</v>
      </c>
    </row>
    <row r="15" spans="1:12" ht="15" hidden="1">
      <c r="A15" s="531"/>
      <c r="B15" s="530" t="s">
        <v>1081</v>
      </c>
      <c r="C15" s="531" t="s">
        <v>1082</v>
      </c>
      <c r="D15" s="534">
        <v>0.1462</v>
      </c>
      <c r="E15" s="535">
        <v>2500</v>
      </c>
      <c r="F15" s="535"/>
      <c r="G15" s="535"/>
      <c r="H15" s="535"/>
      <c r="I15" s="535">
        <f t="shared" si="0"/>
        <v>365.5</v>
      </c>
      <c r="J15" s="535">
        <f t="shared" si="1"/>
        <v>0</v>
      </c>
      <c r="K15" s="535">
        <f t="shared" si="2"/>
        <v>0</v>
      </c>
      <c r="L15" s="535">
        <f t="shared" si="3"/>
        <v>0</v>
      </c>
    </row>
    <row r="16" spans="1:12" ht="15" hidden="1">
      <c r="A16" s="531"/>
      <c r="B16" s="530" t="s">
        <v>1083</v>
      </c>
      <c r="C16" s="531" t="s">
        <v>99</v>
      </c>
      <c r="D16" s="534"/>
      <c r="E16" s="535">
        <v>686480</v>
      </c>
      <c r="F16" s="535"/>
      <c r="G16" s="535"/>
      <c r="H16" s="535"/>
      <c r="I16" s="535">
        <f t="shared" si="0"/>
        <v>0</v>
      </c>
      <c r="J16" s="535">
        <f t="shared" si="1"/>
        <v>0</v>
      </c>
      <c r="K16" s="535">
        <f t="shared" si="2"/>
        <v>0</v>
      </c>
      <c r="L16" s="535">
        <f t="shared" si="3"/>
        <v>0</v>
      </c>
    </row>
    <row r="17" spans="1:12" s="73" customFormat="1" ht="14.25" hidden="1">
      <c r="A17" s="449"/>
      <c r="B17" s="529" t="s">
        <v>85</v>
      </c>
      <c r="C17" s="449"/>
      <c r="D17" s="451"/>
      <c r="E17" s="450"/>
      <c r="F17" s="450"/>
      <c r="G17" s="450"/>
      <c r="H17" s="450"/>
      <c r="I17" s="450"/>
      <c r="J17" s="450"/>
      <c r="K17" s="450">
        <f>SUM(K18:K19)</f>
        <v>2488245.4515</v>
      </c>
      <c r="L17" s="450"/>
    </row>
    <row r="18" spans="1:12" ht="15" hidden="1">
      <c r="A18" s="531"/>
      <c r="B18" s="530" t="s">
        <v>1084</v>
      </c>
      <c r="C18" s="531" t="s">
        <v>1085</v>
      </c>
      <c r="D18" s="534">
        <v>5.2104999999999997</v>
      </c>
      <c r="E18" s="535"/>
      <c r="F18" s="535"/>
      <c r="G18" s="535">
        <v>310818</v>
      </c>
      <c r="H18" s="535"/>
      <c r="I18" s="535">
        <f t="shared" ref="I18:I28" si="4">IFERROR(E18*D18,0)</f>
        <v>0</v>
      </c>
      <c r="J18" s="535">
        <f t="shared" ref="J18:J28" si="5">IFERROR(D18*F18,0)</f>
        <v>0</v>
      </c>
      <c r="K18" s="535">
        <f t="shared" ref="K18:K28" si="6">IFERROR(D18*G18,0)</f>
        <v>1619517.189</v>
      </c>
      <c r="L18" s="535">
        <f t="shared" ref="L18:L28" si="7">IFERROR(D18*H18,0)</f>
        <v>0</v>
      </c>
    </row>
    <row r="19" spans="1:12" ht="15" hidden="1">
      <c r="A19" s="531"/>
      <c r="B19" s="530" t="s">
        <v>1086</v>
      </c>
      <c r="C19" s="531" t="s">
        <v>1085</v>
      </c>
      <c r="D19" s="534">
        <v>2.6774999999999998</v>
      </c>
      <c r="E19" s="535"/>
      <c r="F19" s="535"/>
      <c r="G19" s="535">
        <v>324455</v>
      </c>
      <c r="H19" s="535"/>
      <c r="I19" s="535">
        <f t="shared" si="4"/>
        <v>0</v>
      </c>
      <c r="J19" s="535">
        <f t="shared" si="5"/>
        <v>0</v>
      </c>
      <c r="K19" s="535">
        <f t="shared" si="6"/>
        <v>868728.26249999995</v>
      </c>
      <c r="L19" s="535">
        <f t="shared" si="7"/>
        <v>0</v>
      </c>
    </row>
    <row r="20" spans="1:12" s="73" customFormat="1" ht="14.25" hidden="1">
      <c r="A20" s="449"/>
      <c r="B20" s="529" t="s">
        <v>1087</v>
      </c>
      <c r="C20" s="449"/>
      <c r="D20" s="451"/>
      <c r="E20" s="450"/>
      <c r="F20" s="450"/>
      <c r="G20" s="450"/>
      <c r="H20" s="450"/>
      <c r="I20" s="450">
        <f t="shared" si="4"/>
        <v>0</v>
      </c>
      <c r="J20" s="450">
        <f t="shared" si="5"/>
        <v>0</v>
      </c>
      <c r="K20" s="450">
        <f t="shared" si="6"/>
        <v>0</v>
      </c>
      <c r="L20" s="450">
        <f>SUM(L21:L28)</f>
        <v>280305.97899999999</v>
      </c>
    </row>
    <row r="21" spans="1:12" ht="15" hidden="1">
      <c r="A21" s="531"/>
      <c r="B21" s="530" t="s">
        <v>1088</v>
      </c>
      <c r="C21" s="531" t="s">
        <v>236</v>
      </c>
      <c r="D21" s="534">
        <v>5.355E-2</v>
      </c>
      <c r="E21" s="535"/>
      <c r="F21" s="535"/>
      <c r="G21" s="535"/>
      <c r="H21" s="535">
        <v>40128</v>
      </c>
      <c r="I21" s="535">
        <f t="shared" si="4"/>
        <v>0</v>
      </c>
      <c r="J21" s="535">
        <f t="shared" si="5"/>
        <v>0</v>
      </c>
      <c r="K21" s="535">
        <f t="shared" si="6"/>
        <v>0</v>
      </c>
      <c r="L21" s="535">
        <f t="shared" si="7"/>
        <v>2148.8544000000002</v>
      </c>
    </row>
    <row r="22" spans="1:12" ht="25.5" hidden="1">
      <c r="A22" s="531"/>
      <c r="B22" s="530" t="s">
        <v>1089</v>
      </c>
      <c r="C22" s="531" t="s">
        <v>236</v>
      </c>
      <c r="D22" s="534">
        <v>0.21249999999999999</v>
      </c>
      <c r="E22" s="535"/>
      <c r="F22" s="535"/>
      <c r="G22" s="535"/>
      <c r="H22" s="535">
        <v>403740</v>
      </c>
      <c r="I22" s="535">
        <f t="shared" si="4"/>
        <v>0</v>
      </c>
      <c r="J22" s="535">
        <f t="shared" si="5"/>
        <v>0</v>
      </c>
      <c r="K22" s="535">
        <f t="shared" si="6"/>
        <v>0</v>
      </c>
      <c r="L22" s="535">
        <f t="shared" si="7"/>
        <v>85794.75</v>
      </c>
    </row>
    <row r="23" spans="1:12" ht="15" hidden="1">
      <c r="A23" s="531"/>
      <c r="B23" s="530" t="s">
        <v>1090</v>
      </c>
      <c r="C23" s="531" t="s">
        <v>236</v>
      </c>
      <c r="D23" s="534">
        <v>7.0550000000000002E-2</v>
      </c>
      <c r="E23" s="535"/>
      <c r="F23" s="535"/>
      <c r="G23" s="535"/>
      <c r="H23" s="535">
        <v>68673</v>
      </c>
      <c r="I23" s="535">
        <f t="shared" si="4"/>
        <v>0</v>
      </c>
      <c r="J23" s="535">
        <f t="shared" si="5"/>
        <v>0</v>
      </c>
      <c r="K23" s="535">
        <f t="shared" si="6"/>
        <v>0</v>
      </c>
      <c r="L23" s="535">
        <f t="shared" si="7"/>
        <v>4844.88015</v>
      </c>
    </row>
    <row r="24" spans="1:12" ht="15" hidden="1">
      <c r="A24" s="531"/>
      <c r="B24" s="530" t="s">
        <v>1091</v>
      </c>
      <c r="C24" s="531" t="s">
        <v>236</v>
      </c>
      <c r="D24" s="534">
        <v>0.39864999999999995</v>
      </c>
      <c r="E24" s="535"/>
      <c r="F24" s="535"/>
      <c r="G24" s="535"/>
      <c r="H24" s="535">
        <v>414684</v>
      </c>
      <c r="I24" s="535">
        <f t="shared" si="4"/>
        <v>0</v>
      </c>
      <c r="J24" s="535">
        <f t="shared" si="5"/>
        <v>0</v>
      </c>
      <c r="K24" s="535">
        <f t="shared" si="6"/>
        <v>0</v>
      </c>
      <c r="L24" s="535">
        <f t="shared" si="7"/>
        <v>165313.77659999998</v>
      </c>
    </row>
    <row r="25" spans="1:12" ht="15" hidden="1">
      <c r="A25" s="531"/>
      <c r="B25" s="530" t="s">
        <v>1092</v>
      </c>
      <c r="C25" s="531" t="s">
        <v>236</v>
      </c>
      <c r="D25" s="534">
        <v>5.355E-2</v>
      </c>
      <c r="E25" s="535"/>
      <c r="F25" s="535"/>
      <c r="G25" s="535"/>
      <c r="H25" s="535">
        <v>83447</v>
      </c>
      <c r="I25" s="535">
        <f t="shared" si="4"/>
        <v>0</v>
      </c>
      <c r="J25" s="535">
        <f t="shared" si="5"/>
        <v>0</v>
      </c>
      <c r="K25" s="535">
        <f t="shared" si="6"/>
        <v>0</v>
      </c>
      <c r="L25" s="535">
        <f t="shared" si="7"/>
        <v>4468.5868499999997</v>
      </c>
    </row>
    <row r="26" spans="1:12" ht="15" hidden="1">
      <c r="A26" s="531"/>
      <c r="B26" s="530" t="s">
        <v>1093</v>
      </c>
      <c r="C26" s="531" t="s">
        <v>236</v>
      </c>
      <c r="D26" s="534">
        <v>0.12409999999999999</v>
      </c>
      <c r="E26" s="535"/>
      <c r="F26" s="535"/>
      <c r="G26" s="535"/>
      <c r="H26" s="535">
        <v>142910</v>
      </c>
      <c r="I26" s="535">
        <f t="shared" si="4"/>
        <v>0</v>
      </c>
      <c r="J26" s="535">
        <f t="shared" si="5"/>
        <v>0</v>
      </c>
      <c r="K26" s="535">
        <f t="shared" si="6"/>
        <v>0</v>
      </c>
      <c r="L26" s="535">
        <f t="shared" si="7"/>
        <v>17735.130999999998</v>
      </c>
    </row>
    <row r="27" spans="1:12" ht="25.5" hidden="1">
      <c r="A27" s="531"/>
      <c r="B27" s="530" t="s">
        <v>1094</v>
      </c>
      <c r="C27" s="531" t="s">
        <v>236</v>
      </c>
      <c r="D27" s="534">
        <v>0</v>
      </c>
      <c r="E27" s="535"/>
      <c r="F27" s="535"/>
      <c r="G27" s="535"/>
      <c r="H27" s="535">
        <v>1536034</v>
      </c>
      <c r="I27" s="535">
        <f t="shared" si="4"/>
        <v>0</v>
      </c>
      <c r="J27" s="535">
        <f t="shared" si="5"/>
        <v>0</v>
      </c>
      <c r="K27" s="535">
        <f t="shared" si="6"/>
        <v>0</v>
      </c>
      <c r="L27" s="535">
        <f t="shared" si="7"/>
        <v>0</v>
      </c>
    </row>
    <row r="28" spans="1:12" ht="25.5" hidden="1">
      <c r="A28" s="531"/>
      <c r="B28" s="530" t="s">
        <v>1095</v>
      </c>
      <c r="C28" s="531" t="s">
        <v>236</v>
      </c>
      <c r="D28" s="534">
        <v>0</v>
      </c>
      <c r="E28" s="535"/>
      <c r="F28" s="535"/>
      <c r="G28" s="535"/>
      <c r="H28" s="535">
        <v>1800824</v>
      </c>
      <c r="I28" s="535">
        <f t="shared" si="4"/>
        <v>0</v>
      </c>
      <c r="J28" s="535">
        <f t="shared" si="5"/>
        <v>0</v>
      </c>
      <c r="K28" s="535">
        <f t="shared" si="6"/>
        <v>0</v>
      </c>
      <c r="L28" s="535">
        <f t="shared" si="7"/>
        <v>0</v>
      </c>
    </row>
    <row r="29" spans="1:12" s="73" customFormat="1" ht="14.25">
      <c r="A29" s="449" t="s">
        <v>1096</v>
      </c>
      <c r="B29" s="529" t="s">
        <v>1097</v>
      </c>
      <c r="C29" s="449" t="s">
        <v>1098</v>
      </c>
      <c r="D29" s="458">
        <v>1</v>
      </c>
      <c r="E29" s="450"/>
      <c r="F29" s="450"/>
      <c r="G29" s="450"/>
      <c r="H29" s="450"/>
      <c r="I29" s="450">
        <f>I30</f>
        <v>10597.259</v>
      </c>
      <c r="J29" s="450">
        <f>J30</f>
        <v>0</v>
      </c>
      <c r="K29" s="450">
        <f>K35</f>
        <v>98678.44</v>
      </c>
      <c r="L29" s="450">
        <f>L38</f>
        <v>19008.512499999997</v>
      </c>
    </row>
    <row r="30" spans="1:12" s="73" customFormat="1" ht="14.25">
      <c r="A30" s="449"/>
      <c r="B30" s="529" t="s">
        <v>283</v>
      </c>
      <c r="C30" s="449"/>
      <c r="D30" s="451"/>
      <c r="E30" s="450"/>
      <c r="F30" s="450"/>
      <c r="G30" s="450"/>
      <c r="H30" s="450"/>
      <c r="I30" s="450">
        <f>SUM(I31:I34)</f>
        <v>10597.259</v>
      </c>
      <c r="J30" s="450"/>
      <c r="K30" s="450"/>
      <c r="L30" s="450"/>
    </row>
    <row r="31" spans="1:12" ht="15">
      <c r="A31" s="531"/>
      <c r="B31" s="530" t="s">
        <v>1076</v>
      </c>
      <c r="C31" s="531" t="s">
        <v>1077</v>
      </c>
      <c r="D31" s="534">
        <v>0.25900000000000001</v>
      </c>
      <c r="E31" s="535">
        <v>2057</v>
      </c>
      <c r="F31" s="535"/>
      <c r="G31" s="535"/>
      <c r="H31" s="535"/>
      <c r="I31" s="535">
        <f>D31*E31</f>
        <v>532.76300000000003</v>
      </c>
      <c r="J31" s="535">
        <f>D31*F31</f>
        <v>0</v>
      </c>
      <c r="K31" s="535">
        <f>D31*G31</f>
        <v>0</v>
      </c>
      <c r="L31" s="535">
        <f>D31*H31</f>
        <v>0</v>
      </c>
    </row>
    <row r="32" spans="1:12" ht="15">
      <c r="A32" s="531"/>
      <c r="B32" s="530" t="s">
        <v>1078</v>
      </c>
      <c r="C32" s="531" t="s">
        <v>89</v>
      </c>
      <c r="D32" s="534">
        <v>5.1999999999999998E-2</v>
      </c>
      <c r="E32" s="535">
        <v>28768</v>
      </c>
      <c r="F32" s="535"/>
      <c r="G32" s="535"/>
      <c r="H32" s="535"/>
      <c r="I32" s="535">
        <f>D32*E32</f>
        <v>1495.9359999999999</v>
      </c>
      <c r="J32" s="535">
        <f>D32*F32</f>
        <v>0</v>
      </c>
      <c r="K32" s="535">
        <f>D32*G32</f>
        <v>0</v>
      </c>
      <c r="L32" s="535">
        <f>D32*H32</f>
        <v>0</v>
      </c>
    </row>
    <row r="33" spans="1:13" ht="15">
      <c r="A33" s="531"/>
      <c r="B33" s="530" t="s">
        <v>1099</v>
      </c>
      <c r="C33" s="531" t="s">
        <v>99</v>
      </c>
      <c r="D33" s="534">
        <v>0.104</v>
      </c>
      <c r="E33" s="535">
        <v>67390</v>
      </c>
      <c r="F33" s="535"/>
      <c r="G33" s="535"/>
      <c r="H33" s="535"/>
      <c r="I33" s="535">
        <f>D33*E33</f>
        <v>7008.5599999999995</v>
      </c>
      <c r="J33" s="535">
        <f>D33*F33</f>
        <v>0</v>
      </c>
      <c r="K33" s="535">
        <f>D33*G33</f>
        <v>0</v>
      </c>
      <c r="L33" s="535">
        <f>D33*H33</f>
        <v>0</v>
      </c>
    </row>
    <row r="34" spans="1:13" ht="15">
      <c r="A34" s="531"/>
      <c r="B34" s="530" t="s">
        <v>1080</v>
      </c>
      <c r="C34" s="531" t="s">
        <v>89</v>
      </c>
      <c r="D34" s="534">
        <v>5.1999999999999998E-2</v>
      </c>
      <c r="E34" s="535">
        <v>30000</v>
      </c>
      <c r="F34" s="535"/>
      <c r="G34" s="535"/>
      <c r="H34" s="535"/>
      <c r="I34" s="535">
        <f>D34*E34</f>
        <v>1560</v>
      </c>
      <c r="J34" s="535">
        <f>D34*F34</f>
        <v>0</v>
      </c>
      <c r="K34" s="535">
        <f>D34*G34</f>
        <v>0</v>
      </c>
      <c r="L34" s="535">
        <f>D34*H34</f>
        <v>0</v>
      </c>
    </row>
    <row r="35" spans="1:13" s="73" customFormat="1" ht="14.25">
      <c r="A35" s="449"/>
      <c r="B35" s="529" t="s">
        <v>85</v>
      </c>
      <c r="C35" s="449"/>
      <c r="D35" s="451"/>
      <c r="E35" s="450"/>
      <c r="F35" s="450"/>
      <c r="G35" s="450"/>
      <c r="H35" s="450"/>
      <c r="I35" s="450"/>
      <c r="J35" s="450"/>
      <c r="K35" s="450">
        <f>SUM(K36:K37)</f>
        <v>98678.44</v>
      </c>
      <c r="L35" s="450"/>
    </row>
    <row r="36" spans="1:13" ht="15">
      <c r="A36" s="531"/>
      <c r="B36" s="530" t="s">
        <v>1100</v>
      </c>
      <c r="C36" s="531" t="s">
        <v>1085</v>
      </c>
      <c r="D36" s="534">
        <v>0.22</v>
      </c>
      <c r="E36" s="535"/>
      <c r="F36" s="535"/>
      <c r="G36" s="535">
        <v>279736</v>
      </c>
      <c r="H36" s="535"/>
      <c r="I36" s="535">
        <f>D36*E36</f>
        <v>0</v>
      </c>
      <c r="J36" s="535">
        <f>D36*F36</f>
        <v>0</v>
      </c>
      <c r="K36" s="535">
        <f>D36*G36</f>
        <v>61541.919999999998</v>
      </c>
      <c r="L36" s="535">
        <f>D36*H36</f>
        <v>0</v>
      </c>
    </row>
    <row r="37" spans="1:13" ht="15">
      <c r="A37" s="531"/>
      <c r="B37" s="530" t="s">
        <v>1101</v>
      </c>
      <c r="C37" s="531" t="s">
        <v>1085</v>
      </c>
      <c r="D37" s="534">
        <v>0.12</v>
      </c>
      <c r="E37" s="535"/>
      <c r="F37" s="535"/>
      <c r="G37" s="537">
        <v>309471</v>
      </c>
      <c r="H37" s="535"/>
      <c r="I37" s="535">
        <f>D37*E37</f>
        <v>0</v>
      </c>
      <c r="J37" s="535">
        <f>D37*F37</f>
        <v>0</v>
      </c>
      <c r="K37" s="535">
        <f>D37*G37</f>
        <v>37136.519999999997</v>
      </c>
      <c r="L37" s="535">
        <f>D37*H37</f>
        <v>0</v>
      </c>
    </row>
    <row r="38" spans="1:13" s="73" customFormat="1" ht="14.25">
      <c r="A38" s="449"/>
      <c r="B38" s="529" t="s">
        <v>1087</v>
      </c>
      <c r="C38" s="449"/>
      <c r="D38" s="451"/>
      <c r="E38" s="450"/>
      <c r="F38" s="450"/>
      <c r="G38" s="450"/>
      <c r="H38" s="450"/>
      <c r="I38" s="450"/>
      <c r="J38" s="450"/>
      <c r="K38" s="450"/>
      <c r="L38" s="450">
        <f>SUM(L39:L40)</f>
        <v>19008.512499999997</v>
      </c>
    </row>
    <row r="39" spans="1:13" ht="15">
      <c r="A39" s="531"/>
      <c r="B39" s="530" t="s">
        <v>1088</v>
      </c>
      <c r="C39" s="531" t="s">
        <v>236</v>
      </c>
      <c r="D39" s="534">
        <v>3.1E-2</v>
      </c>
      <c r="E39" s="535"/>
      <c r="F39" s="535"/>
      <c r="G39" s="535"/>
      <c r="H39" s="535">
        <v>40127.5</v>
      </c>
      <c r="I39" s="535">
        <f>D39*E39</f>
        <v>0</v>
      </c>
      <c r="J39" s="535">
        <f>D39*F39</f>
        <v>0</v>
      </c>
      <c r="K39" s="535">
        <f>D39*G39</f>
        <v>0</v>
      </c>
      <c r="L39" s="535">
        <f>D39*H39</f>
        <v>1243.9525000000001</v>
      </c>
    </row>
    <row r="40" spans="1:13" ht="25.5">
      <c r="A40" s="531"/>
      <c r="B40" s="530" t="s">
        <v>1102</v>
      </c>
      <c r="C40" s="531" t="s">
        <v>236</v>
      </c>
      <c r="D40" s="534">
        <v>4.3999999999999997E-2</v>
      </c>
      <c r="E40" s="535"/>
      <c r="F40" s="535"/>
      <c r="G40" s="535"/>
      <c r="H40" s="535">
        <v>403740</v>
      </c>
      <c r="I40" s="535">
        <f>D40*E40</f>
        <v>0</v>
      </c>
      <c r="J40" s="535">
        <f>D40*F40</f>
        <v>0</v>
      </c>
      <c r="K40" s="535">
        <f>D40*G40</f>
        <v>0</v>
      </c>
      <c r="L40" s="535">
        <f>D40*H40</f>
        <v>17764.559999999998</v>
      </c>
    </row>
    <row r="41" spans="1:13" s="73" customFormat="1" ht="14.25">
      <c r="A41" s="449" t="s">
        <v>1104</v>
      </c>
      <c r="B41" s="529" t="s">
        <v>1105</v>
      </c>
      <c r="C41" s="449" t="s">
        <v>1098</v>
      </c>
      <c r="D41" s="458">
        <v>1</v>
      </c>
      <c r="E41" s="450"/>
      <c r="F41" s="450"/>
      <c r="G41" s="450"/>
      <c r="H41" s="450"/>
      <c r="I41" s="450">
        <f>I42</f>
        <v>2613.7556</v>
      </c>
      <c r="J41" s="450">
        <f>J42</f>
        <v>0</v>
      </c>
      <c r="K41" s="450">
        <f>K49</f>
        <v>435104.35199999996</v>
      </c>
      <c r="L41" s="450">
        <f>L52</f>
        <v>27059.487799999999</v>
      </c>
    </row>
    <row r="42" spans="1:13" s="73" customFormat="1" ht="14.25">
      <c r="A42" s="449"/>
      <c r="B42" s="529" t="s">
        <v>283</v>
      </c>
      <c r="C42" s="449"/>
      <c r="D42" s="451"/>
      <c r="E42" s="450"/>
      <c r="F42" s="450"/>
      <c r="G42" s="450"/>
      <c r="H42" s="450"/>
      <c r="I42" s="450">
        <f>SUM(I44:I48)</f>
        <v>2613.7556</v>
      </c>
      <c r="J42" s="450"/>
      <c r="K42" s="450"/>
      <c r="L42" s="450"/>
    </row>
    <row r="43" spans="1:13" ht="15">
      <c r="A43" s="531"/>
      <c r="B43" s="530"/>
      <c r="C43" s="531"/>
      <c r="D43" s="534"/>
      <c r="E43" s="535"/>
      <c r="F43" s="535"/>
      <c r="G43" s="535"/>
      <c r="H43" s="535"/>
      <c r="I43" s="535"/>
      <c r="J43" s="535"/>
      <c r="K43" s="535"/>
      <c r="L43" s="535"/>
    </row>
    <row r="44" spans="1:13" ht="15">
      <c r="A44" s="531"/>
      <c r="B44" s="530" t="s">
        <v>1076</v>
      </c>
      <c r="C44" s="531" t="s">
        <v>1077</v>
      </c>
      <c r="D44" s="534">
        <v>0.49160000000000004</v>
      </c>
      <c r="E44" s="535">
        <v>2057</v>
      </c>
      <c r="F44" s="535"/>
      <c r="G44" s="535"/>
      <c r="H44" s="535"/>
      <c r="I44" s="535">
        <f t="shared" ref="I44:I55" si="8">D44*E44</f>
        <v>1011.2212000000001</v>
      </c>
      <c r="J44" s="535">
        <f t="shared" ref="J44:J55" si="9">D44*F44</f>
        <v>0</v>
      </c>
      <c r="K44" s="535">
        <f t="shared" ref="K44:K55" si="10">D44*G44</f>
        <v>0</v>
      </c>
      <c r="L44" s="535">
        <f t="shared" ref="L44:L55" si="11">D44*H44</f>
        <v>0</v>
      </c>
      <c r="M44" s="312">
        <v>1.2290000000000001</v>
      </c>
    </row>
    <row r="45" spans="1:13" ht="15">
      <c r="A45" s="531"/>
      <c r="B45" s="530" t="s">
        <v>1106</v>
      </c>
      <c r="C45" s="531" t="s">
        <v>99</v>
      </c>
      <c r="D45" s="534">
        <v>0.20480000000000001</v>
      </c>
      <c r="E45" s="535">
        <v>0</v>
      </c>
      <c r="F45" s="535"/>
      <c r="G45" s="535"/>
      <c r="H45" s="535"/>
      <c r="I45" s="535">
        <f t="shared" si="8"/>
        <v>0</v>
      </c>
      <c r="J45" s="535">
        <f t="shared" si="9"/>
        <v>0</v>
      </c>
      <c r="K45" s="535">
        <f t="shared" si="10"/>
        <v>0</v>
      </c>
      <c r="L45" s="535">
        <f t="shared" si="11"/>
        <v>0</v>
      </c>
      <c r="M45" s="312">
        <v>0.51200000000000001</v>
      </c>
    </row>
    <row r="46" spans="1:13" ht="15">
      <c r="A46" s="531"/>
      <c r="B46" s="530" t="s">
        <v>1079</v>
      </c>
      <c r="C46" s="531" t="s">
        <v>99</v>
      </c>
      <c r="D46" s="534">
        <v>4.0800000000000003E-2</v>
      </c>
      <c r="E46" s="535">
        <v>8000</v>
      </c>
      <c r="F46" s="535"/>
      <c r="G46" s="535"/>
      <c r="H46" s="535"/>
      <c r="I46" s="535">
        <f t="shared" si="8"/>
        <v>326.40000000000003</v>
      </c>
      <c r="J46" s="535">
        <f t="shared" si="9"/>
        <v>0</v>
      </c>
      <c r="K46" s="535">
        <f t="shared" si="10"/>
        <v>0</v>
      </c>
      <c r="L46" s="535">
        <f t="shared" si="11"/>
        <v>0</v>
      </c>
      <c r="M46" s="312">
        <v>0.10199999999999999</v>
      </c>
    </row>
    <row r="47" spans="1:13" ht="15">
      <c r="A47" s="531"/>
      <c r="B47" s="530" t="s">
        <v>1078</v>
      </c>
      <c r="C47" s="531" t="s">
        <v>89</v>
      </c>
      <c r="D47" s="534">
        <v>4.0800000000000003E-2</v>
      </c>
      <c r="E47" s="535">
        <v>28768</v>
      </c>
      <c r="F47" s="535"/>
      <c r="G47" s="535"/>
      <c r="H47" s="535"/>
      <c r="I47" s="535">
        <f t="shared" si="8"/>
        <v>1173.7344000000001</v>
      </c>
      <c r="J47" s="535">
        <f t="shared" si="9"/>
        <v>0</v>
      </c>
      <c r="K47" s="535">
        <f t="shared" si="10"/>
        <v>0</v>
      </c>
      <c r="L47" s="535">
        <f t="shared" si="11"/>
        <v>0</v>
      </c>
      <c r="M47" s="312">
        <v>0.10199999999999999</v>
      </c>
    </row>
    <row r="48" spans="1:13" ht="15">
      <c r="A48" s="531"/>
      <c r="B48" s="530" t="s">
        <v>1107</v>
      </c>
      <c r="C48" s="531" t="s">
        <v>1082</v>
      </c>
      <c r="D48" s="534">
        <v>0.20480000000000001</v>
      </c>
      <c r="E48" s="535">
        <v>500</v>
      </c>
      <c r="F48" s="535"/>
      <c r="G48" s="535"/>
      <c r="H48" s="535"/>
      <c r="I48" s="535">
        <f t="shared" si="8"/>
        <v>102.4</v>
      </c>
      <c r="J48" s="535">
        <f t="shared" si="9"/>
        <v>0</v>
      </c>
      <c r="K48" s="535">
        <f t="shared" si="10"/>
        <v>0</v>
      </c>
      <c r="L48" s="535">
        <f t="shared" si="11"/>
        <v>0</v>
      </c>
      <c r="M48" s="312">
        <v>0.51200000000000001</v>
      </c>
    </row>
    <row r="49" spans="1:13" s="73" customFormat="1" ht="14.25">
      <c r="A49" s="449"/>
      <c r="B49" s="529" t="s">
        <v>85</v>
      </c>
      <c r="C49" s="449"/>
      <c r="D49" s="451"/>
      <c r="E49" s="450"/>
      <c r="F49" s="450"/>
      <c r="G49" s="450"/>
      <c r="H49" s="450"/>
      <c r="I49" s="450"/>
      <c r="J49" s="450"/>
      <c r="K49" s="450">
        <f>SUM(K50:K51)</f>
        <v>435104.35199999996</v>
      </c>
      <c r="L49" s="450"/>
    </row>
    <row r="50" spans="1:13" ht="15">
      <c r="A50" s="531"/>
      <c r="B50" s="530" t="s">
        <v>1084</v>
      </c>
      <c r="C50" s="531" t="s">
        <v>1085</v>
      </c>
      <c r="D50" s="534">
        <v>0.85199999999999998</v>
      </c>
      <c r="E50" s="535"/>
      <c r="F50" s="535"/>
      <c r="G50" s="535">
        <v>310818</v>
      </c>
      <c r="H50" s="535"/>
      <c r="I50" s="535">
        <f t="shared" si="8"/>
        <v>0</v>
      </c>
      <c r="J50" s="535">
        <f t="shared" si="9"/>
        <v>0</v>
      </c>
      <c r="K50" s="535">
        <f t="shared" si="10"/>
        <v>264816.93599999999</v>
      </c>
      <c r="L50" s="535">
        <f t="shared" si="11"/>
        <v>0</v>
      </c>
      <c r="M50" s="312">
        <v>2.13</v>
      </c>
    </row>
    <row r="51" spans="1:13" ht="15">
      <c r="A51" s="531"/>
      <c r="B51" s="530" t="s">
        <v>1086</v>
      </c>
      <c r="C51" s="531" t="s">
        <v>1085</v>
      </c>
      <c r="D51" s="534">
        <v>0.46799999999999997</v>
      </c>
      <c r="E51" s="535"/>
      <c r="F51" s="535"/>
      <c r="G51" s="537">
        <v>363862</v>
      </c>
      <c r="H51" s="535"/>
      <c r="I51" s="535">
        <f t="shared" si="8"/>
        <v>0</v>
      </c>
      <c r="J51" s="535">
        <f t="shared" si="9"/>
        <v>0</v>
      </c>
      <c r="K51" s="535">
        <f t="shared" si="10"/>
        <v>170287.416</v>
      </c>
      <c r="L51" s="535">
        <f t="shared" si="11"/>
        <v>0</v>
      </c>
      <c r="M51" s="312">
        <v>1.17</v>
      </c>
    </row>
    <row r="52" spans="1:13" s="73" customFormat="1" ht="14.25">
      <c r="A52" s="449"/>
      <c r="B52" s="529" t="s">
        <v>1087</v>
      </c>
      <c r="C52" s="449"/>
      <c r="D52" s="451"/>
      <c r="E52" s="450"/>
      <c r="F52" s="450"/>
      <c r="G52" s="450"/>
      <c r="H52" s="450"/>
      <c r="I52" s="450"/>
      <c r="J52" s="450"/>
      <c r="K52" s="450"/>
      <c r="L52" s="450">
        <f>SUM(L53:L55)</f>
        <v>27059.487799999999</v>
      </c>
    </row>
    <row r="53" spans="1:13" ht="15">
      <c r="A53" s="531"/>
      <c r="B53" s="530" t="s">
        <v>1092</v>
      </c>
      <c r="C53" s="531" t="s">
        <v>236</v>
      </c>
      <c r="D53" s="534">
        <v>1.6400000000000001E-2</v>
      </c>
      <c r="E53" s="535"/>
      <c r="F53" s="535"/>
      <c r="G53" s="535"/>
      <c r="H53" s="535">
        <v>83447</v>
      </c>
      <c r="I53" s="535">
        <f t="shared" si="8"/>
        <v>0</v>
      </c>
      <c r="J53" s="535">
        <f t="shared" si="9"/>
        <v>0</v>
      </c>
      <c r="K53" s="535">
        <f t="shared" si="10"/>
        <v>0</v>
      </c>
      <c r="L53" s="535">
        <f t="shared" si="11"/>
        <v>1368.5308000000002</v>
      </c>
      <c r="M53" s="312">
        <v>4.1000000000000002E-2</v>
      </c>
    </row>
    <row r="54" spans="1:13" ht="15">
      <c r="A54" s="531"/>
      <c r="B54" s="530" t="s">
        <v>1088</v>
      </c>
      <c r="C54" s="531" t="s">
        <v>236</v>
      </c>
      <c r="D54" s="534">
        <v>1.2400000000000001E-2</v>
      </c>
      <c r="E54" s="535"/>
      <c r="F54" s="535"/>
      <c r="G54" s="535"/>
      <c r="H54" s="535">
        <v>40127.5</v>
      </c>
      <c r="I54" s="535">
        <f t="shared" si="8"/>
        <v>0</v>
      </c>
      <c r="J54" s="535">
        <f t="shared" si="9"/>
        <v>0</v>
      </c>
      <c r="K54" s="535">
        <f t="shared" si="10"/>
        <v>0</v>
      </c>
      <c r="L54" s="535">
        <f t="shared" si="11"/>
        <v>497.58100000000007</v>
      </c>
      <c r="M54" s="312">
        <v>3.1E-2</v>
      </c>
    </row>
    <row r="55" spans="1:13" ht="25.5">
      <c r="A55" s="531"/>
      <c r="B55" s="530" t="s">
        <v>1089</v>
      </c>
      <c r="C55" s="531" t="s">
        <v>236</v>
      </c>
      <c r="D55" s="534">
        <v>6.2400000000000004E-2</v>
      </c>
      <c r="E55" s="535"/>
      <c r="F55" s="535"/>
      <c r="G55" s="535"/>
      <c r="H55" s="535">
        <v>403740</v>
      </c>
      <c r="I55" s="535">
        <f t="shared" si="8"/>
        <v>0</v>
      </c>
      <c r="J55" s="535">
        <f t="shared" si="9"/>
        <v>0</v>
      </c>
      <c r="K55" s="535">
        <f t="shared" si="10"/>
        <v>0</v>
      </c>
      <c r="L55" s="535">
        <f t="shared" si="11"/>
        <v>25193.376</v>
      </c>
      <c r="M55" s="312">
        <v>0.156</v>
      </c>
    </row>
    <row r="56" spans="1:13" s="708" customFormat="1" ht="14.25">
      <c r="A56" s="704" t="s">
        <v>1209</v>
      </c>
      <c r="B56" s="705" t="s">
        <v>1210</v>
      </c>
      <c r="C56" s="704" t="s">
        <v>1211</v>
      </c>
      <c r="D56" s="706"/>
      <c r="E56" s="707"/>
      <c r="F56" s="707"/>
      <c r="G56" s="707"/>
      <c r="H56" s="707"/>
      <c r="I56" s="707">
        <f>I57</f>
        <v>170830</v>
      </c>
      <c r="J56" s="707">
        <f>J57</f>
        <v>0</v>
      </c>
      <c r="K56" s="707">
        <f>K66</f>
        <v>826831.89999999991</v>
      </c>
      <c r="L56" s="707">
        <f>L69</f>
        <v>64227.392500000002</v>
      </c>
    </row>
    <row r="57" spans="1:13" s="73" customFormat="1" ht="14.25">
      <c r="A57" s="449"/>
      <c r="B57" s="529" t="s">
        <v>283</v>
      </c>
      <c r="C57" s="449"/>
      <c r="D57" s="451"/>
      <c r="E57" s="450"/>
      <c r="F57" s="450"/>
      <c r="G57" s="450"/>
      <c r="H57" s="450"/>
      <c r="I57" s="450">
        <f>SUM(I59:I64)</f>
        <v>170830</v>
      </c>
      <c r="J57" s="450"/>
      <c r="K57" s="450"/>
      <c r="L57" s="450"/>
    </row>
    <row r="58" spans="1:13" ht="15">
      <c r="A58" s="531"/>
      <c r="B58" s="530"/>
      <c r="C58" s="531"/>
      <c r="D58" s="534"/>
      <c r="E58" s="535"/>
      <c r="F58" s="535"/>
      <c r="G58" s="535"/>
      <c r="H58" s="535"/>
      <c r="I58" s="535"/>
      <c r="J58" s="535"/>
      <c r="K58" s="535"/>
      <c r="L58" s="535"/>
    </row>
    <row r="59" spans="1:13" ht="15">
      <c r="A59" s="531"/>
      <c r="B59" s="530" t="s">
        <v>1076</v>
      </c>
      <c r="C59" s="531" t="s">
        <v>1077</v>
      </c>
      <c r="D59" s="534">
        <v>5</v>
      </c>
      <c r="E59" s="535">
        <v>2666</v>
      </c>
      <c r="F59" s="535"/>
      <c r="G59" s="535"/>
      <c r="H59" s="535"/>
      <c r="I59" s="535">
        <f>D59*E59</f>
        <v>13330</v>
      </c>
      <c r="J59" s="535">
        <f>D59*F59</f>
        <v>0</v>
      </c>
      <c r="K59" s="535">
        <f>D59*G59</f>
        <v>0</v>
      </c>
      <c r="L59" s="535">
        <f>D59*H59</f>
        <v>0</v>
      </c>
    </row>
    <row r="60" spans="1:13" ht="15">
      <c r="A60" s="531"/>
      <c r="B60" s="530" t="s">
        <v>1078</v>
      </c>
      <c r="C60" s="531" t="s">
        <v>89</v>
      </c>
      <c r="D60" s="534">
        <v>4</v>
      </c>
      <c r="E60" s="535">
        <v>35000</v>
      </c>
      <c r="F60" s="535"/>
      <c r="G60" s="535"/>
      <c r="H60" s="535"/>
      <c r="I60" s="535">
        <f>D60*E60</f>
        <v>140000</v>
      </c>
      <c r="J60" s="535">
        <f>D60*F60</f>
        <v>0</v>
      </c>
      <c r="K60" s="535">
        <f>D60*G60</f>
        <v>0</v>
      </c>
      <c r="L60" s="535">
        <f>D60*H60</f>
        <v>0</v>
      </c>
    </row>
    <row r="61" spans="1:13" ht="15">
      <c r="A61" s="531"/>
      <c r="B61" s="530" t="s">
        <v>1079</v>
      </c>
      <c r="C61" s="531" t="s">
        <v>99</v>
      </c>
      <c r="D61" s="534">
        <v>1</v>
      </c>
      <c r="E61" s="535">
        <v>10000</v>
      </c>
      <c r="F61" s="535"/>
      <c r="G61" s="535"/>
      <c r="H61" s="535"/>
      <c r="I61" s="535">
        <f>D61*E61</f>
        <v>10000</v>
      </c>
      <c r="J61" s="535">
        <f>D61*F61</f>
        <v>0</v>
      </c>
      <c r="K61" s="535">
        <f>D61*G61</f>
        <v>0</v>
      </c>
      <c r="L61" s="535">
        <f>D61*H61</f>
        <v>0</v>
      </c>
    </row>
    <row r="62" spans="1:13" ht="15">
      <c r="A62" s="531"/>
      <c r="B62" s="530" t="s">
        <v>1081</v>
      </c>
      <c r="C62" s="531" t="s">
        <v>1082</v>
      </c>
      <c r="D62" s="534">
        <v>3</v>
      </c>
      <c r="E62" s="535">
        <v>2500</v>
      </c>
      <c r="F62" s="535"/>
      <c r="G62" s="535"/>
      <c r="H62" s="535"/>
      <c r="I62" s="535">
        <f>D62*E62</f>
        <v>7500</v>
      </c>
      <c r="J62" s="535">
        <f>D62*F62</f>
        <v>0</v>
      </c>
      <c r="K62" s="535">
        <f>D62*G62</f>
        <v>0</v>
      </c>
      <c r="L62" s="535">
        <f>D62*H62</f>
        <v>0</v>
      </c>
    </row>
    <row r="63" spans="1:13" ht="15">
      <c r="A63" s="531"/>
      <c r="B63" s="530" t="s">
        <v>1113</v>
      </c>
      <c r="C63" s="531" t="s">
        <v>99</v>
      </c>
      <c r="D63" s="534">
        <v>0</v>
      </c>
      <c r="E63" s="535">
        <v>6500</v>
      </c>
      <c r="F63" s="535"/>
      <c r="G63" s="535" t="str">
        <f>IFERROR(VLOOKUP(#REF!,'[5]NC 5065'!$A$16:$F$43,5,0),"")</f>
        <v/>
      </c>
      <c r="H63" s="535" t="str">
        <f>IFERROR(VLOOKUP(#REF!,'[5]Ca may 5065'!$B$8:$I$38,7,0),"")</f>
        <v/>
      </c>
      <c r="I63" s="535">
        <f>IFERROR(D63*E63,"")</f>
        <v>0</v>
      </c>
      <c r="J63" s="535">
        <f>IFERROR(D63*F63,"")</f>
        <v>0</v>
      </c>
      <c r="K63" s="535" t="str">
        <f>IFERROR(D63*G63,"")</f>
        <v/>
      </c>
      <c r="L63" s="535" t="str">
        <f>IFERROR(D63*H63,"")</f>
        <v/>
      </c>
    </row>
    <row r="64" spans="1:13" ht="15">
      <c r="A64" s="531"/>
      <c r="B64" s="530" t="s">
        <v>1115</v>
      </c>
      <c r="C64" s="531" t="s">
        <v>99</v>
      </c>
      <c r="D64" s="534">
        <v>0</v>
      </c>
      <c r="E64" s="535">
        <v>42530</v>
      </c>
      <c r="F64" s="535"/>
      <c r="G64" s="535"/>
      <c r="H64" s="535"/>
      <c r="I64" s="535">
        <f>D64*E64</f>
        <v>0</v>
      </c>
      <c r="J64" s="535">
        <f>D64*F64</f>
        <v>0</v>
      </c>
      <c r="K64" s="535">
        <f>D64*G64</f>
        <v>0</v>
      </c>
      <c r="L64" s="535">
        <f>D64*H64</f>
        <v>0</v>
      </c>
    </row>
    <row r="65" spans="1:12" ht="15">
      <c r="A65" s="531"/>
      <c r="B65" s="530" t="s">
        <v>1217</v>
      </c>
      <c r="C65" s="531" t="s">
        <v>99</v>
      </c>
      <c r="D65" s="534">
        <v>0</v>
      </c>
      <c r="E65" s="535">
        <v>22610</v>
      </c>
      <c r="F65" s="535"/>
      <c r="G65" s="535" t="str">
        <f>IFERROR(VLOOKUP(#REF!,'[5]NC 5065'!$A$16:$F$43,5,0),"")</f>
        <v/>
      </c>
      <c r="H65" s="535" t="str">
        <f>IFERROR(VLOOKUP(#REF!,'[5]Ca may 5065'!$B$8:$I$38,7,0),"")</f>
        <v/>
      </c>
      <c r="I65" s="535">
        <f t="shared" ref="I65" si="12">IFERROR(D65*E65,"")</f>
        <v>0</v>
      </c>
      <c r="J65" s="535">
        <f t="shared" ref="J65" si="13">IFERROR(D65*F65,"")</f>
        <v>0</v>
      </c>
      <c r="K65" s="535" t="str">
        <f t="shared" ref="K65" si="14">IFERROR(D65*G65,"")</f>
        <v/>
      </c>
      <c r="L65" s="535" t="str">
        <f t="shared" ref="L65" si="15">IFERROR(D65*H65,"")</f>
        <v/>
      </c>
    </row>
    <row r="66" spans="1:12" s="73" customFormat="1" ht="14.25">
      <c r="A66" s="449"/>
      <c r="B66" s="529" t="s">
        <v>85</v>
      </c>
      <c r="C66" s="449"/>
      <c r="D66" s="451"/>
      <c r="E66" s="450"/>
      <c r="F66" s="450"/>
      <c r="G66" s="450"/>
      <c r="H66" s="450"/>
      <c r="I66" s="450"/>
      <c r="J66" s="450"/>
      <c r="K66" s="450">
        <f>SUM(K67:K68)</f>
        <v>826831.89999999991</v>
      </c>
      <c r="L66" s="450"/>
    </row>
    <row r="67" spans="1:12" ht="15">
      <c r="A67" s="531"/>
      <c r="B67" s="530" t="s">
        <v>1117</v>
      </c>
      <c r="C67" s="531" t="s">
        <v>1085</v>
      </c>
      <c r="D67" s="534">
        <v>1.63</v>
      </c>
      <c r="E67" s="535"/>
      <c r="F67" s="535"/>
      <c r="G67" s="535">
        <f>G50</f>
        <v>310818</v>
      </c>
      <c r="H67" s="535"/>
      <c r="I67" s="535">
        <f>D67*E67</f>
        <v>0</v>
      </c>
      <c r="J67" s="535">
        <f>D67*F67</f>
        <v>0</v>
      </c>
      <c r="K67" s="535">
        <f>D67*G67</f>
        <v>506633.33999999997</v>
      </c>
      <c r="L67" s="535">
        <f>D67*H67</f>
        <v>0</v>
      </c>
    </row>
    <row r="68" spans="1:12" ht="15">
      <c r="A68" s="531"/>
      <c r="B68" s="530" t="s">
        <v>1118</v>
      </c>
      <c r="C68" s="531" t="s">
        <v>1085</v>
      </c>
      <c r="D68" s="534">
        <v>0.88</v>
      </c>
      <c r="E68" s="535"/>
      <c r="F68" s="535"/>
      <c r="G68" s="535">
        <f>G51</f>
        <v>363862</v>
      </c>
      <c r="H68" s="535"/>
      <c r="I68" s="535">
        <f>D68*E68</f>
        <v>0</v>
      </c>
      <c r="J68" s="535">
        <f>D68*F68</f>
        <v>0</v>
      </c>
      <c r="K68" s="535">
        <f>D68*G68</f>
        <v>320198.56</v>
      </c>
      <c r="L68" s="535">
        <f>D68*H68</f>
        <v>0</v>
      </c>
    </row>
    <row r="69" spans="1:12" s="73" customFormat="1" ht="14.25">
      <c r="A69" s="449"/>
      <c r="B69" s="529" t="s">
        <v>1087</v>
      </c>
      <c r="C69" s="449"/>
      <c r="D69" s="451"/>
      <c r="E69" s="450"/>
      <c r="F69" s="450"/>
      <c r="G69" s="450"/>
      <c r="H69" s="450"/>
      <c r="I69" s="450"/>
      <c r="J69" s="450"/>
      <c r="K69" s="450"/>
      <c r="L69" s="450">
        <f>SUM(L70:L71)</f>
        <v>64227.392500000002</v>
      </c>
    </row>
    <row r="70" spans="1:12" ht="15">
      <c r="A70" s="531"/>
      <c r="B70" s="530" t="s">
        <v>1088</v>
      </c>
      <c r="C70" s="531" t="s">
        <v>236</v>
      </c>
      <c r="D70" s="534">
        <v>3.1E-2</v>
      </c>
      <c r="E70" s="535"/>
      <c r="F70" s="535"/>
      <c r="G70" s="535"/>
      <c r="H70" s="535">
        <v>40127.5</v>
      </c>
      <c r="I70" s="535">
        <f>D70*E70</f>
        <v>0</v>
      </c>
      <c r="J70" s="535">
        <f>D70*F70</f>
        <v>0</v>
      </c>
      <c r="K70" s="535">
        <f>D70*G70</f>
        <v>0</v>
      </c>
      <c r="L70" s="535">
        <f>D70*H70</f>
        <v>1243.9525000000001</v>
      </c>
    </row>
    <row r="71" spans="1:12" ht="25.5">
      <c r="A71" s="531"/>
      <c r="B71" s="530" t="s">
        <v>1218</v>
      </c>
      <c r="C71" s="531" t="s">
        <v>236</v>
      </c>
      <c r="D71" s="534">
        <v>0.156</v>
      </c>
      <c r="E71" s="535"/>
      <c r="F71" s="535"/>
      <c r="G71" s="535"/>
      <c r="H71" s="535">
        <v>403740</v>
      </c>
      <c r="I71" s="535">
        <f>D71*E71</f>
        <v>0</v>
      </c>
      <c r="J71" s="535">
        <f>D71*F71</f>
        <v>0</v>
      </c>
      <c r="K71" s="535">
        <f>D71*G71</f>
        <v>0</v>
      </c>
      <c r="L71" s="535">
        <f>D71*H71</f>
        <v>62983.44</v>
      </c>
    </row>
    <row r="72" spans="1:12" s="544" customFormat="1" ht="14.25" hidden="1">
      <c r="A72" s="540" t="s">
        <v>1104</v>
      </c>
      <c r="B72" s="541" t="s">
        <v>1108</v>
      </c>
      <c r="C72" s="540" t="s">
        <v>1098</v>
      </c>
      <c r="D72" s="542">
        <v>1</v>
      </c>
      <c r="E72" s="543"/>
      <c r="F72" s="543"/>
      <c r="G72" s="543"/>
      <c r="H72" s="543"/>
      <c r="I72" s="543">
        <f>I73</f>
        <v>411.62348000000003</v>
      </c>
      <c r="J72" s="543">
        <f>J73</f>
        <v>0</v>
      </c>
      <c r="K72" s="543" t="e">
        <f>K80</f>
        <v>#REF!</v>
      </c>
      <c r="L72" s="543">
        <f>L83</f>
        <v>2705.9487800000002</v>
      </c>
    </row>
    <row r="73" spans="1:12" s="73" customFormat="1" ht="14.25" hidden="1">
      <c r="A73" s="449"/>
      <c r="B73" s="529" t="s">
        <v>283</v>
      </c>
      <c r="C73" s="449"/>
      <c r="D73" s="451"/>
      <c r="E73" s="450"/>
      <c r="F73" s="450"/>
      <c r="G73" s="450"/>
      <c r="H73" s="450"/>
      <c r="I73" s="450">
        <f>SUM(I75:I79)</f>
        <v>411.62348000000003</v>
      </c>
      <c r="J73" s="450"/>
      <c r="K73" s="450"/>
      <c r="L73" s="450"/>
    </row>
    <row r="74" spans="1:12" ht="15" hidden="1">
      <c r="A74" s="531"/>
      <c r="B74" s="530"/>
      <c r="C74" s="531"/>
      <c r="D74" s="534"/>
      <c r="E74" s="535"/>
      <c r="F74" s="535"/>
      <c r="G74" s="535"/>
      <c r="H74" s="535"/>
      <c r="I74" s="535"/>
      <c r="J74" s="535"/>
      <c r="K74" s="535"/>
      <c r="L74" s="535"/>
    </row>
    <row r="75" spans="1:12" ht="15" hidden="1">
      <c r="A75" s="531"/>
      <c r="B75" s="530" t="s">
        <v>1076</v>
      </c>
      <c r="C75" s="531" t="s">
        <v>1077</v>
      </c>
      <c r="D75" s="534">
        <f>1.229*0.4*0.1</f>
        <v>4.9160000000000009E-2</v>
      </c>
      <c r="E75" s="535">
        <v>2103</v>
      </c>
      <c r="F75" s="535"/>
      <c r="G75" s="535"/>
      <c r="H75" s="535"/>
      <c r="I75" s="535">
        <f>D75*E75</f>
        <v>103.38348000000002</v>
      </c>
      <c r="J75" s="535">
        <f>D75*F75</f>
        <v>0</v>
      </c>
      <c r="K75" s="535">
        <f>D75*G75</f>
        <v>0</v>
      </c>
      <c r="L75" s="535">
        <f>D75*H75</f>
        <v>0</v>
      </c>
    </row>
    <row r="76" spans="1:12" ht="15" hidden="1">
      <c r="A76" s="531"/>
      <c r="B76" s="530" t="s">
        <v>1106</v>
      </c>
      <c r="C76" s="531" t="s">
        <v>99</v>
      </c>
      <c r="D76" s="534"/>
      <c r="E76" s="535">
        <v>686480</v>
      </c>
      <c r="F76" s="535"/>
      <c r="G76" s="535"/>
      <c r="H76" s="535"/>
      <c r="I76" s="535">
        <f>D76*E76</f>
        <v>0</v>
      </c>
      <c r="J76" s="535">
        <f>D76*F76</f>
        <v>0</v>
      </c>
      <c r="K76" s="535">
        <f>D76*G76</f>
        <v>0</v>
      </c>
      <c r="L76" s="535">
        <f>D76*H76</f>
        <v>0</v>
      </c>
    </row>
    <row r="77" spans="1:12" ht="15" hidden="1">
      <c r="A77" s="531"/>
      <c r="B77" s="530" t="s">
        <v>1079</v>
      </c>
      <c r="C77" s="531" t="s">
        <v>99</v>
      </c>
      <c r="D77" s="534">
        <f>0.102*0.4*0.1</f>
        <v>4.0800000000000003E-3</v>
      </c>
      <c r="E77" s="535">
        <v>25000</v>
      </c>
      <c r="F77" s="535"/>
      <c r="G77" s="535"/>
      <c r="H77" s="535"/>
      <c r="I77" s="535">
        <f>D77*E77</f>
        <v>102.00000000000001</v>
      </c>
      <c r="J77" s="535">
        <f>D77*F77</f>
        <v>0</v>
      </c>
      <c r="K77" s="535">
        <f>D77*G77</f>
        <v>0</v>
      </c>
      <c r="L77" s="535">
        <f>D77*H77</f>
        <v>0</v>
      </c>
    </row>
    <row r="78" spans="1:12" ht="15" hidden="1">
      <c r="A78" s="531"/>
      <c r="B78" s="530" t="s">
        <v>1078</v>
      </c>
      <c r="C78" s="531" t="s">
        <v>89</v>
      </c>
      <c r="D78" s="534">
        <f>0.102*0.4*0.1</f>
        <v>4.0800000000000003E-3</v>
      </c>
      <c r="E78" s="535">
        <v>38000</v>
      </c>
      <c r="F78" s="535"/>
      <c r="G78" s="535"/>
      <c r="H78" s="535"/>
      <c r="I78" s="535">
        <f>D78*E78</f>
        <v>155.04000000000002</v>
      </c>
      <c r="J78" s="535">
        <f>D78*F78</f>
        <v>0</v>
      </c>
      <c r="K78" s="535">
        <f>D78*G78</f>
        <v>0</v>
      </c>
      <c r="L78" s="535">
        <f>D78*H78</f>
        <v>0</v>
      </c>
    </row>
    <row r="79" spans="1:12" ht="15" hidden="1">
      <c r="A79" s="531"/>
      <c r="B79" s="530" t="s">
        <v>1107</v>
      </c>
      <c r="C79" s="531" t="s">
        <v>1082</v>
      </c>
      <c r="D79" s="534">
        <f>0.512*0.4*0.1</f>
        <v>2.0480000000000002E-2</v>
      </c>
      <c r="E79" s="535">
        <v>2500</v>
      </c>
      <c r="F79" s="535"/>
      <c r="G79" s="535"/>
      <c r="H79" s="535"/>
      <c r="I79" s="535">
        <f>D79*E79</f>
        <v>51.2</v>
      </c>
      <c r="J79" s="535">
        <f>D79*F79</f>
        <v>0</v>
      </c>
      <c r="K79" s="535">
        <f>D79*G79</f>
        <v>0</v>
      </c>
      <c r="L79" s="535">
        <f>D79*H79</f>
        <v>0</v>
      </c>
    </row>
    <row r="80" spans="1:12" s="73" customFormat="1" ht="14.25" hidden="1">
      <c r="A80" s="449"/>
      <c r="B80" s="529" t="s">
        <v>85</v>
      </c>
      <c r="C80" s="449"/>
      <c r="D80" s="451"/>
      <c r="E80" s="450"/>
      <c r="F80" s="450"/>
      <c r="G80" s="450"/>
      <c r="H80" s="450"/>
      <c r="I80" s="450"/>
      <c r="J80" s="450"/>
      <c r="K80" s="450" t="e">
        <f>SUM(K81:K82)</f>
        <v>#REF!</v>
      </c>
      <c r="L80" s="450"/>
    </row>
    <row r="81" spans="1:12" ht="15" hidden="1">
      <c r="A81" s="531"/>
      <c r="B81" s="530" t="s">
        <v>1084</v>
      </c>
      <c r="C81" s="531" t="s">
        <v>1085</v>
      </c>
      <c r="D81" s="534">
        <f>2.13*0.4*0.1</f>
        <v>8.5199999999999998E-2</v>
      </c>
      <c r="E81" s="535"/>
      <c r="F81" s="535"/>
      <c r="G81" s="535" t="e">
        <f>+#REF!</f>
        <v>#REF!</v>
      </c>
      <c r="H81" s="535"/>
      <c r="I81" s="535">
        <f>D81*E81</f>
        <v>0</v>
      </c>
      <c r="J81" s="535">
        <f>D81*F81</f>
        <v>0</v>
      </c>
      <c r="K81" s="535" t="e">
        <f>D81*G81</f>
        <v>#REF!</v>
      </c>
      <c r="L81" s="535">
        <f>D81*H81</f>
        <v>0</v>
      </c>
    </row>
    <row r="82" spans="1:12" ht="15" hidden="1">
      <c r="A82" s="531"/>
      <c r="B82" s="530" t="s">
        <v>1086</v>
      </c>
      <c r="C82" s="531" t="s">
        <v>1085</v>
      </c>
      <c r="D82" s="534">
        <f>1.17*0.4*0.1</f>
        <v>4.6800000000000001E-2</v>
      </c>
      <c r="E82" s="535"/>
      <c r="F82" s="535"/>
      <c r="G82" s="535" t="e">
        <f>+#REF!</f>
        <v>#REF!</v>
      </c>
      <c r="H82" s="535"/>
      <c r="I82" s="535">
        <f>D82*E82</f>
        <v>0</v>
      </c>
      <c r="J82" s="535">
        <f>D82*F82</f>
        <v>0</v>
      </c>
      <c r="K82" s="535" t="e">
        <f>D82*G82</f>
        <v>#REF!</v>
      </c>
      <c r="L82" s="535">
        <f>D82*H82</f>
        <v>0</v>
      </c>
    </row>
    <row r="83" spans="1:12" s="73" customFormat="1" ht="14.25" hidden="1">
      <c r="A83" s="449"/>
      <c r="B83" s="529" t="s">
        <v>1087</v>
      </c>
      <c r="C83" s="449"/>
      <c r="D83" s="451"/>
      <c r="E83" s="450"/>
      <c r="F83" s="450"/>
      <c r="G83" s="450"/>
      <c r="H83" s="450"/>
      <c r="I83" s="450"/>
      <c r="J83" s="450"/>
      <c r="K83" s="450"/>
      <c r="L83" s="450">
        <f>SUM(L84:L88)</f>
        <v>2705.9487800000002</v>
      </c>
    </row>
    <row r="84" spans="1:12" ht="15" hidden="1">
      <c r="A84" s="531"/>
      <c r="B84" s="530" t="s">
        <v>1092</v>
      </c>
      <c r="C84" s="531" t="s">
        <v>236</v>
      </c>
      <c r="D84" s="534">
        <f>0.041*0.4*0.1</f>
        <v>1.6400000000000002E-3</v>
      </c>
      <c r="E84" s="535"/>
      <c r="F84" s="535"/>
      <c r="G84" s="535"/>
      <c r="H84" s="535">
        <v>83447</v>
      </c>
      <c r="I84" s="535">
        <f>D84*E84</f>
        <v>0</v>
      </c>
      <c r="J84" s="535">
        <f>D84*F84</f>
        <v>0</v>
      </c>
      <c r="K84" s="535">
        <f>D84*G84</f>
        <v>0</v>
      </c>
      <c r="L84" s="535">
        <f>D84*H84</f>
        <v>136.85308000000001</v>
      </c>
    </row>
    <row r="85" spans="1:12" ht="15" hidden="1">
      <c r="A85" s="531"/>
      <c r="B85" s="530" t="s">
        <v>1088</v>
      </c>
      <c r="C85" s="531" t="s">
        <v>236</v>
      </c>
      <c r="D85" s="534">
        <f>0.031*0.4*0.1</f>
        <v>1.2400000000000002E-3</v>
      </c>
      <c r="E85" s="535"/>
      <c r="F85" s="535"/>
      <c r="G85" s="535"/>
      <c r="H85" s="535">
        <v>40127.5</v>
      </c>
      <c r="I85" s="535">
        <f>D85*E85</f>
        <v>0</v>
      </c>
      <c r="J85" s="535">
        <f>D85*F85</f>
        <v>0</v>
      </c>
      <c r="K85" s="535">
        <f>D85*G85</f>
        <v>0</v>
      </c>
      <c r="L85" s="535">
        <f>D85*H85</f>
        <v>49.758100000000006</v>
      </c>
    </row>
    <row r="86" spans="1:12" ht="25.5" hidden="1">
      <c r="A86" s="531"/>
      <c r="B86" s="530" t="s">
        <v>1089</v>
      </c>
      <c r="C86" s="531" t="s">
        <v>236</v>
      </c>
      <c r="D86" s="534">
        <f>0.156*0.4*0.1</f>
        <v>6.2400000000000008E-3</v>
      </c>
      <c r="E86" s="535"/>
      <c r="F86" s="535"/>
      <c r="G86" s="535"/>
      <c r="H86" s="535">
        <v>403740</v>
      </c>
      <c r="I86" s="535">
        <f>D86*E86</f>
        <v>0</v>
      </c>
      <c r="J86" s="535">
        <f>D86*F86</f>
        <v>0</v>
      </c>
      <c r="K86" s="535">
        <f>D86*G86</f>
        <v>0</v>
      </c>
      <c r="L86" s="535">
        <f>D86*H86</f>
        <v>2519.3376000000003</v>
      </c>
    </row>
    <row r="87" spans="1:12" ht="25.5" hidden="1">
      <c r="A87" s="531"/>
      <c r="B87" s="530" t="s">
        <v>1094</v>
      </c>
      <c r="C87" s="531" t="s">
        <v>236</v>
      </c>
      <c r="D87" s="534"/>
      <c r="E87" s="535"/>
      <c r="F87" s="535"/>
      <c r="G87" s="535"/>
      <c r="H87" s="535">
        <v>1536034</v>
      </c>
      <c r="I87" s="535">
        <f>D87*E87</f>
        <v>0</v>
      </c>
      <c r="J87" s="535">
        <f>D87*F87</f>
        <v>0</v>
      </c>
      <c r="K87" s="535">
        <f>D87*G87</f>
        <v>0</v>
      </c>
      <c r="L87" s="535">
        <f>D87*H87</f>
        <v>0</v>
      </c>
    </row>
    <row r="88" spans="1:12" ht="25.5" hidden="1">
      <c r="A88" s="531"/>
      <c r="B88" s="530" t="s">
        <v>1095</v>
      </c>
      <c r="C88" s="531" t="s">
        <v>236</v>
      </c>
      <c r="D88" s="534"/>
      <c r="E88" s="535"/>
      <c r="F88" s="535"/>
      <c r="G88" s="535"/>
      <c r="H88" s="535">
        <v>1800824</v>
      </c>
      <c r="I88" s="535">
        <f>D88*E88</f>
        <v>0</v>
      </c>
      <c r="J88" s="535">
        <f>D88*F88</f>
        <v>0</v>
      </c>
      <c r="K88" s="535">
        <f>D88*G88</f>
        <v>0</v>
      </c>
      <c r="L88" s="535">
        <f>D88*H88</f>
        <v>0</v>
      </c>
    </row>
    <row r="89" spans="1:12" s="73" customFormat="1" ht="25.5" hidden="1">
      <c r="A89" s="449" t="s">
        <v>1109</v>
      </c>
      <c r="B89" s="529" t="s">
        <v>1110</v>
      </c>
      <c r="C89" s="449" t="s">
        <v>1111</v>
      </c>
      <c r="D89" s="451">
        <v>1</v>
      </c>
      <c r="E89" s="450"/>
      <c r="F89" s="450"/>
      <c r="G89" s="450"/>
      <c r="H89" s="450"/>
      <c r="I89" s="450">
        <f>ROUND(SUM(I90:I107),0)</f>
        <v>4452084</v>
      </c>
      <c r="J89" s="450">
        <f>ROUND(SUM(J90:J107),0)</f>
        <v>0</v>
      </c>
      <c r="K89" s="450">
        <f>ROUND(SUM(K90:K107),0)</f>
        <v>0</v>
      </c>
      <c r="L89" s="450">
        <f>ROUND(SUM(L90:L107),0)</f>
        <v>46603</v>
      </c>
    </row>
    <row r="90" spans="1:12" s="73" customFormat="1" ht="14.25" hidden="1">
      <c r="A90" s="449"/>
      <c r="B90" s="529" t="s">
        <v>283</v>
      </c>
      <c r="C90" s="449"/>
      <c r="D90" s="451"/>
      <c r="E90" s="450"/>
      <c r="F90" s="450"/>
      <c r="G90" s="450"/>
      <c r="H90" s="450"/>
      <c r="I90" s="450"/>
      <c r="J90" s="450"/>
      <c r="K90" s="450"/>
      <c r="L90" s="450"/>
    </row>
    <row r="91" spans="1:12" ht="15" hidden="1">
      <c r="A91" s="531"/>
      <c r="B91" s="530" t="s">
        <v>1076</v>
      </c>
      <c r="C91" s="531" t="s">
        <v>1077</v>
      </c>
      <c r="D91" s="534">
        <v>2</v>
      </c>
      <c r="E91" s="535">
        <v>2103</v>
      </c>
      <c r="F91" s="535"/>
      <c r="G91" s="535" t="str">
        <f>IFERROR(VLOOKUP(#REF!,'[5]NC 5065'!$A$16:$F$43,5,0),"")</f>
        <v/>
      </c>
      <c r="H91" s="535" t="str">
        <f>IFERROR(VLOOKUP(#REF!,'[5]Ca may 5065'!$B$8:$I$38,7,0),"")</f>
        <v/>
      </c>
      <c r="I91" s="535">
        <f>IFERROR($E$11*E91,"")</f>
        <v>4422609</v>
      </c>
      <c r="J91" s="535">
        <f>IFERROR(D91*F91,"")</f>
        <v>0</v>
      </c>
      <c r="K91" s="535" t="str">
        <f>IFERROR(D91*G91,"")</f>
        <v/>
      </c>
      <c r="L91" s="535" t="str">
        <f>IFERROR(D91*H91,"")</f>
        <v/>
      </c>
    </row>
    <row r="92" spans="1:12" ht="15" hidden="1">
      <c r="A92" s="531"/>
      <c r="B92" s="530" t="s">
        <v>1078</v>
      </c>
      <c r="C92" s="531" t="s">
        <v>89</v>
      </c>
      <c r="D92" s="534">
        <f>0.45</f>
        <v>0.45</v>
      </c>
      <c r="E92" s="535">
        <v>38000</v>
      </c>
      <c r="F92" s="535"/>
      <c r="G92" s="535" t="str">
        <f>IFERROR(VLOOKUP(#REF!,'[5]NC 5065'!$A$16:$F$43,5,0),"")</f>
        <v/>
      </c>
      <c r="H92" s="535" t="str">
        <f>IFERROR(VLOOKUP(#REF!,'[5]Ca may 5065'!$B$8:$I$38,7,0),"")</f>
        <v/>
      </c>
      <c r="I92" s="535">
        <f t="shared" ref="I92:I107" si="16">IFERROR(D92*E92,"")</f>
        <v>17100</v>
      </c>
      <c r="J92" s="535">
        <f t="shared" ref="J92:J107" si="17">IFERROR(D92*F92,"")</f>
        <v>0</v>
      </c>
      <c r="K92" s="535" t="str">
        <f t="shared" ref="K92:K107" si="18">IFERROR(D92*G92,"")</f>
        <v/>
      </c>
      <c r="L92" s="535" t="str">
        <f t="shared" ref="L92:L107" si="19">IFERROR(D92*H92,"")</f>
        <v/>
      </c>
    </row>
    <row r="93" spans="1:12" ht="15" hidden="1">
      <c r="A93" s="531"/>
      <c r="B93" s="530" t="s">
        <v>1112</v>
      </c>
      <c r="C93" s="531" t="s">
        <v>99</v>
      </c>
      <c r="D93" s="534">
        <f>0.45</f>
        <v>0.45</v>
      </c>
      <c r="E93" s="535">
        <v>25000</v>
      </c>
      <c r="F93" s="535"/>
      <c r="G93" s="535" t="str">
        <f>IFERROR(VLOOKUP(#REF!,'[5]NC 5065'!$A$16:$F$43,5,0),"")</f>
        <v/>
      </c>
      <c r="H93" s="535" t="str">
        <f>IFERROR(VLOOKUP(#REF!,'[5]Ca may 5065'!$B$8:$I$38,7,0),"")</f>
        <v/>
      </c>
      <c r="I93" s="535">
        <f t="shared" si="16"/>
        <v>11250</v>
      </c>
      <c r="J93" s="535">
        <f t="shared" si="17"/>
        <v>0</v>
      </c>
      <c r="K93" s="535" t="str">
        <f t="shared" si="18"/>
        <v/>
      </c>
      <c r="L93" s="535" t="str">
        <f t="shared" si="19"/>
        <v/>
      </c>
    </row>
    <row r="94" spans="1:12" ht="15" hidden="1">
      <c r="A94" s="531"/>
      <c r="B94" s="530" t="s">
        <v>1081</v>
      </c>
      <c r="C94" s="531" t="s">
        <v>1082</v>
      </c>
      <c r="D94" s="534">
        <f>0.45</f>
        <v>0.45</v>
      </c>
      <c r="E94" s="535">
        <v>2500</v>
      </c>
      <c r="F94" s="535"/>
      <c r="G94" s="535" t="str">
        <f>IFERROR(VLOOKUP(#REF!,'[5]NC 5065'!$A$16:$F$43,5,0),"")</f>
        <v/>
      </c>
      <c r="H94" s="535" t="str">
        <f>IFERROR(VLOOKUP(#REF!,'[5]Ca may 5065'!$B$8:$I$38,7,0),"")</f>
        <v/>
      </c>
      <c r="I94" s="535">
        <f t="shared" si="16"/>
        <v>1125</v>
      </c>
      <c r="J94" s="535">
        <f t="shared" si="17"/>
        <v>0</v>
      </c>
      <c r="K94" s="535" t="str">
        <f t="shared" si="18"/>
        <v/>
      </c>
      <c r="L94" s="535" t="str">
        <f t="shared" si="19"/>
        <v/>
      </c>
    </row>
    <row r="95" spans="1:12" ht="15" hidden="1">
      <c r="A95" s="531"/>
      <c r="B95" s="530" t="s">
        <v>1114</v>
      </c>
      <c r="C95" s="531" t="s">
        <v>109</v>
      </c>
      <c r="D95" s="534">
        <f>0.9*0</f>
        <v>0</v>
      </c>
      <c r="E95" s="535" t="s">
        <v>1123</v>
      </c>
      <c r="F95" s="535"/>
      <c r="G95" s="535" t="str">
        <f>IFERROR(VLOOKUP(#REF!,'[5]NC 5065'!$A$16:$F$43,5,0),"")</f>
        <v/>
      </c>
      <c r="H95" s="535" t="str">
        <f>IFERROR(VLOOKUP(#REF!,'[5]Ca may 5065'!$B$8:$I$38,7,0),"")</f>
        <v/>
      </c>
      <c r="I95" s="535" t="str">
        <f t="shared" si="16"/>
        <v/>
      </c>
      <c r="J95" s="535">
        <f t="shared" si="17"/>
        <v>0</v>
      </c>
      <c r="K95" s="535" t="str">
        <f t="shared" si="18"/>
        <v/>
      </c>
      <c r="L95" s="535" t="str">
        <f t="shared" si="19"/>
        <v/>
      </c>
    </row>
    <row r="96" spans="1:12" ht="15" hidden="1">
      <c r="A96" s="531"/>
      <c r="B96" s="530" t="s">
        <v>1115</v>
      </c>
      <c r="C96" s="531" t="s">
        <v>99</v>
      </c>
      <c r="D96" s="534">
        <f>1.8*0</f>
        <v>0</v>
      </c>
      <c r="E96" s="535">
        <v>38930</v>
      </c>
      <c r="F96" s="535"/>
      <c r="G96" s="535" t="str">
        <f>IFERROR(VLOOKUP(#REF!,'[5]NC 5065'!$A$16:$F$43,5,0),"")</f>
        <v/>
      </c>
      <c r="H96" s="535" t="str">
        <f>IFERROR(VLOOKUP(#REF!,'[5]Ca may 5065'!$B$8:$I$38,7,0),"")</f>
        <v/>
      </c>
      <c r="I96" s="535">
        <f t="shared" si="16"/>
        <v>0</v>
      </c>
      <c r="J96" s="535">
        <f t="shared" si="17"/>
        <v>0</v>
      </c>
      <c r="K96" s="535" t="str">
        <f t="shared" si="18"/>
        <v/>
      </c>
      <c r="L96" s="535" t="str">
        <f t="shared" si="19"/>
        <v/>
      </c>
    </row>
    <row r="97" spans="1:12" ht="15" hidden="1">
      <c r="A97" s="531"/>
      <c r="B97" s="530" t="s">
        <v>1116</v>
      </c>
      <c r="C97" s="531" t="s">
        <v>99</v>
      </c>
      <c r="D97" s="534">
        <f>4*0</f>
        <v>0</v>
      </c>
      <c r="E97" s="535">
        <v>15000</v>
      </c>
      <c r="F97" s="535"/>
      <c r="G97" s="535" t="str">
        <f>IFERROR(VLOOKUP(#REF!,'[5]NC 5065'!$A$16:$F$43,5,0),"")</f>
        <v/>
      </c>
      <c r="H97" s="535" t="str">
        <f>IFERROR(VLOOKUP(#REF!,'[5]Ca may 5065'!$B$8:$I$38,7,0),"")</f>
        <v/>
      </c>
      <c r="I97" s="535">
        <f t="shared" si="16"/>
        <v>0</v>
      </c>
      <c r="J97" s="535">
        <f t="shared" si="17"/>
        <v>0</v>
      </c>
      <c r="K97" s="535" t="str">
        <f t="shared" si="18"/>
        <v/>
      </c>
      <c r="L97" s="535" t="str">
        <f t="shared" si="19"/>
        <v/>
      </c>
    </row>
    <row r="98" spans="1:12" s="73" customFormat="1" ht="14.25" hidden="1">
      <c r="A98" s="449"/>
      <c r="B98" s="529" t="s">
        <v>85</v>
      </c>
      <c r="C98" s="449"/>
      <c r="D98" s="451"/>
      <c r="E98" s="450" t="str">
        <f>IFERROR(VLOOKUP(#REF!,'[5]Vat lieu'!$A$5:$E$50,4,0),"")</f>
        <v/>
      </c>
      <c r="F98" s="450"/>
      <c r="G98" s="450" t="str">
        <f>IFERROR(VLOOKUP(#REF!,'[5]NC 5065'!$A$16:$F$43,5,0),"")</f>
        <v/>
      </c>
      <c r="H98" s="450" t="str">
        <f>IFERROR(VLOOKUP(#REF!,'[5]Ca may 5065'!$B$8:$I$38,7,0),"")</f>
        <v/>
      </c>
      <c r="I98" s="450" t="str">
        <f t="shared" si="16"/>
        <v/>
      </c>
      <c r="J98" s="450">
        <f t="shared" si="17"/>
        <v>0</v>
      </c>
      <c r="K98" s="450" t="str">
        <f t="shared" si="18"/>
        <v/>
      </c>
      <c r="L98" s="450" t="str">
        <f t="shared" si="19"/>
        <v/>
      </c>
    </row>
    <row r="99" spans="1:12" ht="15" hidden="1">
      <c r="A99" s="531"/>
      <c r="B99" s="530" t="s">
        <v>1117</v>
      </c>
      <c r="C99" s="531" t="s">
        <v>1085</v>
      </c>
      <c r="D99" s="534">
        <v>5.08</v>
      </c>
      <c r="E99" s="535" t="str">
        <f>IFERROR(VLOOKUP(#REF!,'[5]Vat lieu'!$A$5:$E$50,4,0),"")</f>
        <v/>
      </c>
      <c r="F99" s="535"/>
      <c r="G99" s="535" t="e">
        <f>+G81</f>
        <v>#REF!</v>
      </c>
      <c r="H99" s="535" t="str">
        <f>IFERROR(VLOOKUP(#REF!,'[5]Ca may 5065'!$B$8:$I$38,7,0),"")</f>
        <v/>
      </c>
      <c r="I99" s="535" t="str">
        <f t="shared" si="16"/>
        <v/>
      </c>
      <c r="J99" s="535">
        <f t="shared" si="17"/>
        <v>0</v>
      </c>
      <c r="K99" s="535" t="str">
        <f t="shared" si="18"/>
        <v/>
      </c>
      <c r="L99" s="535" t="str">
        <f t="shared" si="19"/>
        <v/>
      </c>
    </row>
    <row r="100" spans="1:12" ht="15" hidden="1">
      <c r="A100" s="531"/>
      <c r="B100" s="530" t="s">
        <v>1118</v>
      </c>
      <c r="C100" s="531" t="s">
        <v>1085</v>
      </c>
      <c r="D100" s="534">
        <v>2.1</v>
      </c>
      <c r="E100" s="535" t="str">
        <f>IFERROR(VLOOKUP(#REF!,'[5]Vat lieu'!$A$5:$E$50,4,0),"")</f>
        <v/>
      </c>
      <c r="F100" s="535"/>
      <c r="G100" s="535" t="e">
        <f>+G82</f>
        <v>#REF!</v>
      </c>
      <c r="H100" s="535" t="str">
        <f>IFERROR(VLOOKUP(#REF!,'[5]Ca may 5065'!$B$8:$I$38,7,0),"")</f>
        <v/>
      </c>
      <c r="I100" s="535" t="str">
        <f t="shared" si="16"/>
        <v/>
      </c>
      <c r="J100" s="535">
        <f t="shared" si="17"/>
        <v>0</v>
      </c>
      <c r="K100" s="535" t="str">
        <f t="shared" si="18"/>
        <v/>
      </c>
      <c r="L100" s="535" t="str">
        <f t="shared" si="19"/>
        <v/>
      </c>
    </row>
    <row r="101" spans="1:12" s="73" customFormat="1" ht="14.25" hidden="1">
      <c r="A101" s="449"/>
      <c r="B101" s="529" t="s">
        <v>1087</v>
      </c>
      <c r="C101" s="449"/>
      <c r="D101" s="451"/>
      <c r="E101" s="450" t="str">
        <f>IFERROR(VLOOKUP(#REF!,'[5]Vat lieu'!$A$5:$E$50,4,0),"")</f>
        <v/>
      </c>
      <c r="F101" s="450"/>
      <c r="G101" s="450" t="str">
        <f>IFERROR(VLOOKUP(#REF!,'[5]NC 5065'!$A$16:$F$43,5,0),"")</f>
        <v/>
      </c>
      <c r="H101" s="450" t="str">
        <f>IFERROR(VLOOKUP(#REF!,'[5]Ca may 5065'!$B$8:$I$38,7,0),"")</f>
        <v/>
      </c>
      <c r="I101" s="450" t="str">
        <f t="shared" si="16"/>
        <v/>
      </c>
      <c r="J101" s="450">
        <f t="shared" si="17"/>
        <v>0</v>
      </c>
      <c r="K101" s="450" t="str">
        <f t="shared" si="18"/>
        <v/>
      </c>
      <c r="L101" s="450" t="str">
        <f t="shared" si="19"/>
        <v/>
      </c>
    </row>
    <row r="102" spans="1:12" ht="15" hidden="1">
      <c r="A102" s="531"/>
      <c r="B102" s="530" t="s">
        <v>1088</v>
      </c>
      <c r="C102" s="531" t="s">
        <v>236</v>
      </c>
      <c r="D102" s="534">
        <v>0.17699999999999999</v>
      </c>
      <c r="E102" s="535" t="str">
        <f>IFERROR(VLOOKUP(#REF!,'[5]Vat lieu'!$A$5:$E$50,4,0),"")</f>
        <v/>
      </c>
      <c r="F102" s="535"/>
      <c r="G102" s="535" t="str">
        <f>IFERROR(VLOOKUP(#REF!,'[5]NC 5065'!$A$16:$F$43,5,0),"")</f>
        <v/>
      </c>
      <c r="H102" s="535">
        <v>40128</v>
      </c>
      <c r="I102" s="535" t="str">
        <f t="shared" si="16"/>
        <v/>
      </c>
      <c r="J102" s="535">
        <f t="shared" si="17"/>
        <v>0</v>
      </c>
      <c r="K102" s="535" t="str">
        <f t="shared" si="18"/>
        <v/>
      </c>
      <c r="L102" s="535">
        <f t="shared" si="19"/>
        <v>7102.6559999999999</v>
      </c>
    </row>
    <row r="103" spans="1:12" ht="15" hidden="1">
      <c r="A103" s="531"/>
      <c r="B103" s="530" t="s">
        <v>1119</v>
      </c>
      <c r="C103" s="531" t="s">
        <v>236</v>
      </c>
      <c r="D103" s="534">
        <v>0</v>
      </c>
      <c r="E103" s="535" t="str">
        <f>IFERROR(VLOOKUP(#REF!,'[5]Vat lieu'!$A$5:$E$50,4,0),"")</f>
        <v/>
      </c>
      <c r="F103" s="535"/>
      <c r="G103" s="535" t="str">
        <f>IFERROR(VLOOKUP(#REF!,'[5]NC 5065'!$A$16:$F$43,5,0),"")</f>
        <v/>
      </c>
      <c r="H103" s="535">
        <v>796170</v>
      </c>
      <c r="I103" s="535" t="str">
        <f t="shared" si="16"/>
        <v/>
      </c>
      <c r="J103" s="535">
        <f t="shared" si="17"/>
        <v>0</v>
      </c>
      <c r="K103" s="535" t="str">
        <f t="shared" si="18"/>
        <v/>
      </c>
      <c r="L103" s="535">
        <f t="shared" si="19"/>
        <v>0</v>
      </c>
    </row>
    <row r="104" spans="1:12" ht="15" hidden="1">
      <c r="A104" s="531"/>
      <c r="B104" s="530" t="s">
        <v>1120</v>
      </c>
      <c r="C104" s="531" t="s">
        <v>236</v>
      </c>
      <c r="D104" s="534">
        <v>0.35399999999999998</v>
      </c>
      <c r="E104" s="535" t="str">
        <f>IFERROR(VLOOKUP(#REF!,'[5]Vat lieu'!$A$5:$E$50,4,0),"")</f>
        <v/>
      </c>
      <c r="F104" s="535"/>
      <c r="G104" s="535" t="str">
        <f>IFERROR(VLOOKUP(#REF!,'[5]NC 5065'!$A$16:$F$43,5,0),"")</f>
        <v/>
      </c>
      <c r="H104" s="535">
        <v>40128</v>
      </c>
      <c r="I104" s="535" t="str">
        <f t="shared" si="16"/>
        <v/>
      </c>
      <c r="J104" s="535">
        <f t="shared" si="17"/>
        <v>0</v>
      </c>
      <c r="K104" s="535" t="str">
        <f t="shared" si="18"/>
        <v/>
      </c>
      <c r="L104" s="535">
        <f t="shared" si="19"/>
        <v>14205.312</v>
      </c>
    </row>
    <row r="105" spans="1:12" ht="15" hidden="1">
      <c r="A105" s="531"/>
      <c r="B105" s="530" t="s">
        <v>1093</v>
      </c>
      <c r="C105" s="531" t="s">
        <v>236</v>
      </c>
      <c r="D105" s="534">
        <v>0.17699999999999999</v>
      </c>
      <c r="E105" s="535" t="str">
        <f>IFERROR(VLOOKUP(#REF!,'[5]Vat lieu'!$A$5:$E$50,4,0),"")</f>
        <v/>
      </c>
      <c r="F105" s="535"/>
      <c r="G105" s="535" t="str">
        <f>IFERROR(VLOOKUP(#REF!,'[5]NC 5065'!$A$16:$F$43,5,0),"")</f>
        <v/>
      </c>
      <c r="H105" s="535">
        <v>142910</v>
      </c>
      <c r="I105" s="535" t="str">
        <f t="shared" si="16"/>
        <v/>
      </c>
      <c r="J105" s="535">
        <f t="shared" si="17"/>
        <v>0</v>
      </c>
      <c r="K105" s="535" t="str">
        <f t="shared" si="18"/>
        <v/>
      </c>
      <c r="L105" s="535">
        <f t="shared" si="19"/>
        <v>25295.07</v>
      </c>
    </row>
    <row r="106" spans="1:12" ht="15" hidden="1">
      <c r="A106" s="531"/>
      <c r="B106" s="530" t="s">
        <v>1121</v>
      </c>
      <c r="C106" s="531" t="s">
        <v>236</v>
      </c>
      <c r="D106" s="534">
        <f>0.229*0</f>
        <v>0</v>
      </c>
      <c r="E106" s="535" t="str">
        <f>IFERROR(VLOOKUP(#REF!,'[5]Vat lieu'!$A$5:$E$50,4,0),"")</f>
        <v/>
      </c>
      <c r="F106" s="535"/>
      <c r="G106" s="535" t="str">
        <f>IFERROR(VLOOKUP(#REF!,'[5]NC 5065'!$A$16:$F$43,5,0),"")</f>
        <v/>
      </c>
      <c r="H106" s="535">
        <v>752669</v>
      </c>
      <c r="I106" s="535" t="str">
        <f t="shared" si="16"/>
        <v/>
      </c>
      <c r="J106" s="535">
        <f t="shared" si="17"/>
        <v>0</v>
      </c>
      <c r="K106" s="535" t="str">
        <f t="shared" si="18"/>
        <v/>
      </c>
      <c r="L106" s="535">
        <f t="shared" si="19"/>
        <v>0</v>
      </c>
    </row>
    <row r="107" spans="1:12" ht="25.5" hidden="1">
      <c r="A107" s="531"/>
      <c r="B107" s="530" t="s">
        <v>1122</v>
      </c>
      <c r="C107" s="531" t="s">
        <v>236</v>
      </c>
      <c r="D107" s="534">
        <f>0.25*0</f>
        <v>0</v>
      </c>
      <c r="E107" s="535" t="str">
        <f>IFERROR(VLOOKUP(#REF!,'[5]Vat lieu'!$A$5:$E$50,4,0),"")</f>
        <v/>
      </c>
      <c r="F107" s="535"/>
      <c r="G107" s="535" t="str">
        <f>IFERROR(VLOOKUP(#REF!,'[5]NC 5065'!$A$16:$F$43,5,0),"")</f>
        <v/>
      </c>
      <c r="H107" s="535">
        <v>403740</v>
      </c>
      <c r="I107" s="535" t="str">
        <f t="shared" si="16"/>
        <v/>
      </c>
      <c r="J107" s="535">
        <f t="shared" si="17"/>
        <v>0</v>
      </c>
      <c r="K107" s="535" t="str">
        <f t="shared" si="18"/>
        <v/>
      </c>
      <c r="L107" s="535">
        <f t="shared" si="19"/>
        <v>0</v>
      </c>
    </row>
  </sheetData>
  <mergeCells count="9">
    <mergeCell ref="A1:L1"/>
    <mergeCell ref="A5:A6"/>
    <mergeCell ref="B5:B6"/>
    <mergeCell ref="C5:C6"/>
    <mergeCell ref="D5:D6"/>
    <mergeCell ref="E5:H5"/>
    <mergeCell ref="I5:L5"/>
    <mergeCell ref="A3:L3"/>
    <mergeCell ref="A2:L2"/>
  </mergeCells>
  <printOptions horizontalCentered="1"/>
  <pageMargins left="0.21" right="0.2" top="0.75" bottom="0.75" header="0.3" footer="0.3"/>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33"/>
  </sheetPr>
  <dimension ref="A1:L47"/>
  <sheetViews>
    <sheetView showZeros="0" topLeftCell="A22" zoomScaleNormal="100" workbookViewId="0">
      <selection activeCell="D40" sqref="D40:D45"/>
    </sheetView>
  </sheetViews>
  <sheetFormatPr defaultColWidth="9.33203125" defaultRowHeight="15"/>
  <cols>
    <col min="1" max="1" width="5.1640625" style="127" customWidth="1"/>
    <col min="2" max="2" width="47.1640625" style="127" customWidth="1"/>
    <col min="3" max="3" width="12" style="127" customWidth="1"/>
    <col min="4" max="4" width="12" style="411" customWidth="1"/>
    <col min="5" max="5" width="17.5" style="127" customWidth="1"/>
    <col min="6" max="6" width="15.83203125" style="412" customWidth="1"/>
    <col min="7" max="7" width="15.83203125" style="413" customWidth="1"/>
    <col min="8" max="8" width="13.5" style="413" bestFit="1" customWidth="1"/>
    <col min="9" max="9" width="15.83203125" style="127" customWidth="1"/>
    <col min="10" max="16384" width="9.33203125" style="127"/>
  </cols>
  <sheetData>
    <row r="1" spans="1:10" ht="10.15" customHeight="1"/>
    <row r="2" spans="1:10" ht="19.149999999999999" customHeight="1">
      <c r="A2" s="1060" t="s">
        <v>1135</v>
      </c>
      <c r="B2" s="1060"/>
      <c r="C2" s="1060"/>
      <c r="D2" s="1060"/>
      <c r="E2" s="1060"/>
      <c r="F2" s="1060"/>
      <c r="G2" s="1060"/>
      <c r="H2" s="1060"/>
      <c r="I2" s="1060"/>
      <c r="J2" s="414"/>
    </row>
    <row r="3" spans="1:10" ht="10.9" customHeight="1">
      <c r="A3" s="1065"/>
      <c r="B3" s="1065"/>
      <c r="C3" s="1065"/>
      <c r="D3" s="1065"/>
      <c r="E3" s="1065"/>
      <c r="F3" s="1065"/>
      <c r="G3" s="1065"/>
      <c r="H3" s="1065"/>
      <c r="I3" s="1065"/>
    </row>
    <row r="4" spans="1:10" ht="15" customHeight="1">
      <c r="A4" s="1061" t="s">
        <v>22</v>
      </c>
      <c r="B4" s="1061" t="s">
        <v>67</v>
      </c>
      <c r="C4" s="1061" t="s">
        <v>47</v>
      </c>
      <c r="D4" s="1063" t="s">
        <v>66</v>
      </c>
      <c r="E4" s="1061" t="s">
        <v>262</v>
      </c>
      <c r="F4" s="1061" t="s">
        <v>69</v>
      </c>
      <c r="G4" s="1061" t="s">
        <v>77</v>
      </c>
      <c r="H4" s="1061" t="s">
        <v>78</v>
      </c>
      <c r="I4" s="1061" t="s">
        <v>70</v>
      </c>
    </row>
    <row r="5" spans="1:10" ht="17.45" customHeight="1">
      <c r="A5" s="1062"/>
      <c r="B5" s="1062"/>
      <c r="C5" s="1062"/>
      <c r="D5" s="1064"/>
      <c r="E5" s="1062"/>
      <c r="F5" s="1062"/>
      <c r="G5" s="1062"/>
      <c r="H5" s="1062"/>
      <c r="I5" s="1062"/>
    </row>
    <row r="6" spans="1:10" ht="17.25" customHeight="1">
      <c r="A6" s="415" t="s">
        <v>54</v>
      </c>
      <c r="B6" s="415" t="s">
        <v>55</v>
      </c>
      <c r="C6" s="415" t="s">
        <v>56</v>
      </c>
      <c r="D6" s="416" t="s">
        <v>57</v>
      </c>
      <c r="E6" s="415" t="s">
        <v>58</v>
      </c>
      <c r="F6" s="415" t="s">
        <v>59</v>
      </c>
      <c r="G6" s="415" t="s">
        <v>60</v>
      </c>
      <c r="H6" s="415" t="s">
        <v>61</v>
      </c>
      <c r="I6" s="415" t="s">
        <v>254</v>
      </c>
    </row>
    <row r="7" spans="1:10" ht="22.15" customHeight="1">
      <c r="A7" s="415" t="s">
        <v>253</v>
      </c>
      <c r="B7" s="437" t="s">
        <v>724</v>
      </c>
      <c r="C7" s="415" t="s">
        <v>99</v>
      </c>
      <c r="D7" s="417">
        <f>'TK TA'!AY146</f>
        <v>99</v>
      </c>
      <c r="E7" s="418" t="e">
        <f>+'B. CHI TIET'!#REF!</f>
        <v>#REF!</v>
      </c>
      <c r="F7" s="419">
        <v>1</v>
      </c>
      <c r="G7" s="420" t="e">
        <f t="shared" ref="G7" si="0">E7*F7%</f>
        <v>#REF!</v>
      </c>
      <c r="H7" s="420" t="e">
        <f t="shared" ref="H7" si="1">D7*G7</f>
        <v>#REF!</v>
      </c>
      <c r="I7" s="415"/>
      <c r="J7" s="127">
        <f>12+12+12+12+24+12+12+12</f>
        <v>108</v>
      </c>
    </row>
    <row r="8" spans="1:10" ht="22.15" customHeight="1">
      <c r="A8" s="421">
        <v>2</v>
      </c>
      <c r="B8" s="437" t="s">
        <v>1555</v>
      </c>
      <c r="C8" s="421" t="s">
        <v>99</v>
      </c>
      <c r="D8" s="417">
        <f>'TK TA'!AZ146</f>
        <v>33</v>
      </c>
      <c r="E8" s="418" t="e">
        <f>+'B. CHI TIET'!#REF!</f>
        <v>#REF!</v>
      </c>
      <c r="F8" s="419">
        <v>1</v>
      </c>
      <c r="G8" s="420" t="e">
        <f t="shared" ref="G8:G14" si="2">E8*F8%</f>
        <v>#REF!</v>
      </c>
      <c r="H8" s="420" t="e">
        <f t="shared" ref="H8:H9" si="3">D8*G8</f>
        <v>#REF!</v>
      </c>
      <c r="I8" s="423"/>
    </row>
    <row r="9" spans="1:10" ht="22.15" customHeight="1">
      <c r="A9" s="415" t="s">
        <v>253</v>
      </c>
      <c r="B9" s="437" t="s">
        <v>1556</v>
      </c>
      <c r="C9" s="415" t="s">
        <v>99</v>
      </c>
      <c r="D9" s="417">
        <f>'TK TA'!BA146</f>
        <v>54</v>
      </c>
      <c r="E9" s="418" t="e">
        <f>+'B. CHI TIET'!#REF!</f>
        <v>#REF!</v>
      </c>
      <c r="F9" s="419">
        <v>1</v>
      </c>
      <c r="G9" s="420" t="e">
        <f t="shared" si="2"/>
        <v>#REF!</v>
      </c>
      <c r="H9" s="420" t="e">
        <f t="shared" si="3"/>
        <v>#REF!</v>
      </c>
      <c r="I9" s="415"/>
      <c r="J9" s="127">
        <f>12+12+12+12+24+12+12+12</f>
        <v>108</v>
      </c>
    </row>
    <row r="10" spans="1:10" ht="22.15" customHeight="1">
      <c r="A10" s="421">
        <v>2</v>
      </c>
      <c r="B10" s="437" t="s">
        <v>1554</v>
      </c>
      <c r="C10" s="421" t="s">
        <v>99</v>
      </c>
      <c r="D10" s="417">
        <f>'TK TA'!BB146</f>
        <v>18</v>
      </c>
      <c r="E10" s="418" t="e">
        <f>+'B. CHI TIET'!#REF!</f>
        <v>#REF!</v>
      </c>
      <c r="F10" s="419">
        <v>1</v>
      </c>
      <c r="G10" s="420" t="e">
        <f t="shared" ref="G10" si="4">E10*F10%</f>
        <v>#REF!</v>
      </c>
      <c r="H10" s="420" t="e">
        <f t="shared" ref="H10" si="5">D10*G10</f>
        <v>#REF!</v>
      </c>
      <c r="I10" s="423"/>
    </row>
    <row r="11" spans="1:10" ht="22.15" customHeight="1">
      <c r="A11" s="415" t="s">
        <v>558</v>
      </c>
      <c r="B11" s="437" t="s">
        <v>702</v>
      </c>
      <c r="C11" s="421" t="s">
        <v>99</v>
      </c>
      <c r="D11" s="417">
        <f>'TK TA'!BC146*1.02</f>
        <v>137.69999999999999</v>
      </c>
      <c r="E11" s="418">
        <v>125000</v>
      </c>
      <c r="F11" s="419">
        <v>1</v>
      </c>
      <c r="G11" s="420">
        <f t="shared" ref="G11" si="6">E11*F11%</f>
        <v>1250</v>
      </c>
      <c r="H11" s="420">
        <f t="shared" ref="H11" si="7">D11*G11</f>
        <v>172125</v>
      </c>
      <c r="I11" s="423"/>
    </row>
    <row r="12" spans="1:10" ht="22.15" customHeight="1">
      <c r="A12" s="415" t="s">
        <v>647</v>
      </c>
      <c r="B12" s="437" t="s">
        <v>823</v>
      </c>
      <c r="C12" s="421" t="s">
        <v>99</v>
      </c>
      <c r="D12" s="417">
        <f>'TK TA'!BD146*1.02</f>
        <v>208.08</v>
      </c>
      <c r="E12" s="418">
        <v>63300</v>
      </c>
      <c r="F12" s="419">
        <v>2</v>
      </c>
      <c r="G12" s="420">
        <f t="shared" si="2"/>
        <v>1266</v>
      </c>
      <c r="H12" s="420">
        <f t="shared" ref="H12" si="8">D12*G12</f>
        <v>263429.28000000003</v>
      </c>
      <c r="I12" s="423"/>
    </row>
    <row r="13" spans="1:10" ht="22.15" customHeight="1">
      <c r="A13" s="421">
        <v>5</v>
      </c>
      <c r="B13" s="437" t="s">
        <v>1147</v>
      </c>
      <c r="C13" s="421" t="s">
        <v>90</v>
      </c>
      <c r="D13" s="417">
        <f>'TK TA'!BE146</f>
        <v>4</v>
      </c>
      <c r="E13" s="418">
        <v>7087636</v>
      </c>
      <c r="F13" s="419">
        <v>2</v>
      </c>
      <c r="G13" s="420">
        <f t="shared" si="2"/>
        <v>141752.72</v>
      </c>
      <c r="H13" s="420">
        <f t="shared" ref="H13:H15" si="9">D13*G13</f>
        <v>567010.88</v>
      </c>
      <c r="I13" s="423"/>
    </row>
    <row r="14" spans="1:10" ht="22.15" customHeight="1">
      <c r="A14" s="415" t="s">
        <v>1013</v>
      </c>
      <c r="B14" s="437" t="s">
        <v>1146</v>
      </c>
      <c r="C14" s="421" t="s">
        <v>90</v>
      </c>
      <c r="D14" s="417">
        <f>'TK TA'!BF146</f>
        <v>22</v>
      </c>
      <c r="E14" s="418">
        <v>4728000</v>
      </c>
      <c r="F14" s="419">
        <v>2</v>
      </c>
      <c r="G14" s="420">
        <f t="shared" si="2"/>
        <v>94560</v>
      </c>
      <c r="H14" s="420">
        <f t="shared" ref="H14" si="10">D14*G14</f>
        <v>2080320</v>
      </c>
      <c r="I14" s="423"/>
    </row>
    <row r="15" spans="1:10" ht="22.15" customHeight="1">
      <c r="A15" s="415" t="s">
        <v>649</v>
      </c>
      <c r="B15" s="437" t="s">
        <v>1002</v>
      </c>
      <c r="C15" s="421" t="s">
        <v>87</v>
      </c>
      <c r="D15" s="417">
        <f>'TK TA'!BG146</f>
        <v>2</v>
      </c>
      <c r="E15" s="418">
        <v>1130000</v>
      </c>
      <c r="F15" s="419">
        <v>2</v>
      </c>
      <c r="G15" s="420">
        <f t="shared" ref="G15" si="11">E15*F15%</f>
        <v>22600</v>
      </c>
      <c r="H15" s="420">
        <f t="shared" si="9"/>
        <v>45200</v>
      </c>
      <c r="I15" s="423"/>
    </row>
    <row r="16" spans="1:10" ht="22.15" customHeight="1">
      <c r="A16" s="415" t="s">
        <v>1014</v>
      </c>
      <c r="B16" s="437" t="s">
        <v>636</v>
      </c>
      <c r="C16" s="421" t="s">
        <v>87</v>
      </c>
      <c r="D16" s="422">
        <f>'TK TA'!BH146</f>
        <v>9</v>
      </c>
      <c r="E16" s="418">
        <v>1192000</v>
      </c>
      <c r="F16" s="419">
        <v>2</v>
      </c>
      <c r="G16" s="420">
        <f t="shared" ref="G16:G45" si="12">E16*F16%</f>
        <v>23840</v>
      </c>
      <c r="H16" s="420">
        <f t="shared" ref="H16:H45" si="13">D16*G16</f>
        <v>214560</v>
      </c>
      <c r="I16" s="423"/>
    </row>
    <row r="17" spans="1:12" ht="22.15" customHeight="1">
      <c r="A17" s="415" t="s">
        <v>650</v>
      </c>
      <c r="B17" s="437" t="s">
        <v>637</v>
      </c>
      <c r="C17" s="421" t="s">
        <v>87</v>
      </c>
      <c r="D17" s="422">
        <f>'TK TA'!BI146</f>
        <v>1</v>
      </c>
      <c r="E17" s="418">
        <v>596000</v>
      </c>
      <c r="F17" s="419">
        <v>2</v>
      </c>
      <c r="G17" s="420">
        <f t="shared" si="12"/>
        <v>11920</v>
      </c>
      <c r="H17" s="420">
        <f t="shared" si="13"/>
        <v>11920</v>
      </c>
      <c r="I17" s="423"/>
    </row>
    <row r="18" spans="1:12" ht="22.15" customHeight="1">
      <c r="A18" s="415" t="s">
        <v>1015</v>
      </c>
      <c r="B18" s="437" t="s">
        <v>771</v>
      </c>
      <c r="C18" s="421" t="s">
        <v>87</v>
      </c>
      <c r="D18" s="422">
        <f>'TK TA'!BJ146</f>
        <v>45</v>
      </c>
      <c r="E18" s="418">
        <v>490000</v>
      </c>
      <c r="F18" s="419">
        <v>2</v>
      </c>
      <c r="G18" s="420">
        <f t="shared" si="12"/>
        <v>9800</v>
      </c>
      <c r="H18" s="420">
        <f t="shared" si="13"/>
        <v>441000</v>
      </c>
      <c r="I18" s="423"/>
    </row>
    <row r="19" spans="1:12" ht="22.15" customHeight="1">
      <c r="A19" s="415" t="s">
        <v>651</v>
      </c>
      <c r="B19" s="437" t="s">
        <v>768</v>
      </c>
      <c r="C19" s="421" t="s">
        <v>87</v>
      </c>
      <c r="D19" s="422">
        <f>'TK TA'!BK146</f>
        <v>4</v>
      </c>
      <c r="E19" s="418">
        <v>980000</v>
      </c>
      <c r="F19" s="419">
        <v>2</v>
      </c>
      <c r="G19" s="420">
        <f t="shared" si="12"/>
        <v>19600</v>
      </c>
      <c r="H19" s="420">
        <f t="shared" si="13"/>
        <v>78400</v>
      </c>
      <c r="I19" s="423"/>
    </row>
    <row r="20" spans="1:12" ht="22.15" customHeight="1">
      <c r="A20" s="415" t="s">
        <v>1012</v>
      </c>
      <c r="B20" s="437" t="s">
        <v>638</v>
      </c>
      <c r="C20" s="421" t="s">
        <v>87</v>
      </c>
      <c r="D20" s="422">
        <f>'TK TA'!BL146</f>
        <v>2</v>
      </c>
      <c r="E20" s="418">
        <v>936000</v>
      </c>
      <c r="F20" s="419">
        <v>2</v>
      </c>
      <c r="G20" s="420">
        <f t="shared" si="12"/>
        <v>18720</v>
      </c>
      <c r="H20" s="420">
        <f t="shared" si="13"/>
        <v>37440</v>
      </c>
      <c r="I20" s="423"/>
    </row>
    <row r="21" spans="1:12" ht="22.15" customHeight="1">
      <c r="A21" s="415" t="s">
        <v>1016</v>
      </c>
      <c r="B21" s="437" t="s">
        <v>797</v>
      </c>
      <c r="C21" s="421" t="s">
        <v>87</v>
      </c>
      <c r="D21" s="422">
        <f>'TK TA'!BN146</f>
        <v>42</v>
      </c>
      <c r="E21" s="418">
        <v>210000</v>
      </c>
      <c r="F21" s="419">
        <v>1</v>
      </c>
      <c r="G21" s="420">
        <f t="shared" si="12"/>
        <v>2100</v>
      </c>
      <c r="H21" s="420">
        <f t="shared" si="13"/>
        <v>88200</v>
      </c>
      <c r="I21" s="423"/>
    </row>
    <row r="22" spans="1:12" ht="22.15" customHeight="1">
      <c r="A22" s="415" t="s">
        <v>1017</v>
      </c>
      <c r="B22" s="437" t="s">
        <v>796</v>
      </c>
      <c r="C22" s="421" t="s">
        <v>87</v>
      </c>
      <c r="D22" s="422">
        <f>'TK TA'!BO146</f>
        <v>117</v>
      </c>
      <c r="E22" s="418">
        <v>330000</v>
      </c>
      <c r="F22" s="419">
        <v>1</v>
      </c>
      <c r="G22" s="420">
        <f t="shared" si="12"/>
        <v>3300</v>
      </c>
      <c r="H22" s="420">
        <f t="shared" si="13"/>
        <v>386100</v>
      </c>
      <c r="I22" s="423"/>
    </row>
    <row r="23" spans="1:12" ht="22.15" customHeight="1">
      <c r="A23" s="415" t="s">
        <v>1018</v>
      </c>
      <c r="B23" s="437" t="s">
        <v>723</v>
      </c>
      <c r="C23" s="421" t="s">
        <v>87</v>
      </c>
      <c r="D23" s="422">
        <f>'TK TA'!BP146</f>
        <v>54</v>
      </c>
      <c r="E23" s="418">
        <v>980000</v>
      </c>
      <c r="F23" s="419">
        <v>1</v>
      </c>
      <c r="G23" s="420">
        <f t="shared" si="12"/>
        <v>9800</v>
      </c>
      <c r="H23" s="420">
        <f t="shared" si="13"/>
        <v>529200</v>
      </c>
      <c r="I23" s="423"/>
    </row>
    <row r="24" spans="1:12" ht="22.15" customHeight="1">
      <c r="A24" s="415" t="s">
        <v>1019</v>
      </c>
      <c r="B24" s="437" t="s">
        <v>703</v>
      </c>
      <c r="C24" s="421" t="s">
        <v>87</v>
      </c>
      <c r="D24" s="422">
        <f>'TK TA'!BQ146</f>
        <v>9</v>
      </c>
      <c r="E24" s="418">
        <v>2618000</v>
      </c>
      <c r="F24" s="419">
        <v>2</v>
      </c>
      <c r="G24" s="420">
        <f t="shared" si="12"/>
        <v>52360</v>
      </c>
      <c r="H24" s="420">
        <f t="shared" si="13"/>
        <v>471240</v>
      </c>
      <c r="I24" s="423"/>
    </row>
    <row r="25" spans="1:12" ht="22.15" customHeight="1">
      <c r="A25" s="421">
        <v>17</v>
      </c>
      <c r="B25" s="437" t="s">
        <v>704</v>
      </c>
      <c r="C25" s="421" t="s">
        <v>87</v>
      </c>
      <c r="D25" s="422">
        <f>'TK TA'!BR146</f>
        <v>18</v>
      </c>
      <c r="E25" s="418">
        <v>2551000</v>
      </c>
      <c r="F25" s="419">
        <v>2</v>
      </c>
      <c r="G25" s="420">
        <f t="shared" si="12"/>
        <v>51020</v>
      </c>
      <c r="H25" s="420">
        <f t="shared" si="13"/>
        <v>918360</v>
      </c>
      <c r="I25" s="423"/>
    </row>
    <row r="26" spans="1:12" ht="30">
      <c r="A26" s="415" t="s">
        <v>1020</v>
      </c>
      <c r="B26" s="642" t="s">
        <v>721</v>
      </c>
      <c r="C26" s="421" t="s">
        <v>99</v>
      </c>
      <c r="D26" s="422">
        <f>'TK TA'!BS146</f>
        <v>306</v>
      </c>
      <c r="E26" s="418">
        <v>249989</v>
      </c>
      <c r="F26" s="419">
        <v>1</v>
      </c>
      <c r="G26" s="420">
        <f t="shared" si="12"/>
        <v>2499.89</v>
      </c>
      <c r="H26" s="420">
        <f t="shared" si="13"/>
        <v>764966.34</v>
      </c>
      <c r="I26" s="423"/>
    </row>
    <row r="27" spans="1:12" ht="30">
      <c r="A27" s="421">
        <v>19</v>
      </c>
      <c r="B27" s="642" t="s">
        <v>722</v>
      </c>
      <c r="C27" s="421" t="s">
        <v>99</v>
      </c>
      <c r="D27" s="422">
        <f>'TK TA'!BT146</f>
        <v>102</v>
      </c>
      <c r="E27" s="418">
        <v>192727</v>
      </c>
      <c r="F27" s="419">
        <v>1</v>
      </c>
      <c r="G27" s="420">
        <f t="shared" si="12"/>
        <v>1927.27</v>
      </c>
      <c r="H27" s="420">
        <f t="shared" si="13"/>
        <v>196581.54</v>
      </c>
      <c r="I27" s="423"/>
    </row>
    <row r="28" spans="1:12" ht="22.15" customHeight="1">
      <c r="A28" s="415" t="s">
        <v>1021</v>
      </c>
      <c r="B28" s="437" t="s">
        <v>769</v>
      </c>
      <c r="C28" s="421" t="s">
        <v>87</v>
      </c>
      <c r="D28" s="422">
        <f>'TK TA'!BU146</f>
        <v>54</v>
      </c>
      <c r="E28" s="418">
        <v>20000</v>
      </c>
      <c r="F28" s="419">
        <v>1</v>
      </c>
      <c r="G28" s="420">
        <f t="shared" si="12"/>
        <v>200</v>
      </c>
      <c r="H28" s="420">
        <f t="shared" si="13"/>
        <v>10800</v>
      </c>
      <c r="I28" s="423"/>
    </row>
    <row r="29" spans="1:12" ht="22.15" customHeight="1">
      <c r="A29" s="421">
        <v>21</v>
      </c>
      <c r="B29" s="437" t="s">
        <v>626</v>
      </c>
      <c r="C29" s="421" t="s">
        <v>86</v>
      </c>
      <c r="D29" s="422">
        <f>'TK TA'!BV146</f>
        <v>3</v>
      </c>
      <c r="E29" s="418">
        <v>249000</v>
      </c>
      <c r="F29" s="419">
        <v>1</v>
      </c>
      <c r="G29" s="420">
        <f t="shared" si="12"/>
        <v>2490</v>
      </c>
      <c r="H29" s="420">
        <f t="shared" si="13"/>
        <v>7470</v>
      </c>
      <c r="I29" s="423"/>
    </row>
    <row r="30" spans="1:12" ht="22.15" customHeight="1">
      <c r="A30" s="421">
        <v>22</v>
      </c>
      <c r="B30" s="437" t="s">
        <v>673</v>
      </c>
      <c r="C30" s="421" t="s">
        <v>86</v>
      </c>
      <c r="D30" s="422">
        <f>'TK TA'!BW146</f>
        <v>3</v>
      </c>
      <c r="E30" s="418">
        <v>105000</v>
      </c>
      <c r="F30" s="419">
        <v>1</v>
      </c>
      <c r="G30" s="420">
        <f t="shared" si="12"/>
        <v>1050</v>
      </c>
      <c r="H30" s="420">
        <f t="shared" si="13"/>
        <v>3150</v>
      </c>
      <c r="I30" s="423"/>
    </row>
    <row r="31" spans="1:12" ht="22.15" customHeight="1">
      <c r="A31" s="421">
        <v>23</v>
      </c>
      <c r="B31" s="437" t="s">
        <v>822</v>
      </c>
      <c r="C31" s="421" t="s">
        <v>86</v>
      </c>
      <c r="D31" s="422">
        <f>'TK TA'!BX146</f>
        <v>12</v>
      </c>
      <c r="E31" s="418">
        <v>315000</v>
      </c>
      <c r="F31" s="419">
        <v>1</v>
      </c>
      <c r="G31" s="420">
        <f t="shared" si="12"/>
        <v>3150</v>
      </c>
      <c r="H31" s="420">
        <f t="shared" si="13"/>
        <v>37800</v>
      </c>
      <c r="I31" s="423"/>
    </row>
    <row r="32" spans="1:12" ht="22.15" customHeight="1">
      <c r="A32" s="421">
        <v>24</v>
      </c>
      <c r="B32" s="437" t="s">
        <v>815</v>
      </c>
      <c r="C32" s="421" t="s">
        <v>86</v>
      </c>
      <c r="D32" s="422">
        <f>'TK TA'!BY146</f>
        <v>6</v>
      </c>
      <c r="E32" s="418">
        <v>203000</v>
      </c>
      <c r="F32" s="419">
        <v>1</v>
      </c>
      <c r="G32" s="420">
        <f t="shared" si="12"/>
        <v>2030</v>
      </c>
      <c r="H32" s="420">
        <f t="shared" si="13"/>
        <v>12180</v>
      </c>
      <c r="I32" s="423"/>
      <c r="L32" s="545">
        <f>+D32+D25</f>
        <v>24</v>
      </c>
    </row>
    <row r="33" spans="1:12" ht="22.15" customHeight="1">
      <c r="A33" s="421">
        <v>25</v>
      </c>
      <c r="B33" s="437" t="s">
        <v>798</v>
      </c>
      <c r="C33" s="421" t="s">
        <v>86</v>
      </c>
      <c r="D33" s="422">
        <f>'TK TA'!BZ146</f>
        <v>24</v>
      </c>
      <c r="E33" s="418">
        <v>144500</v>
      </c>
      <c r="F33" s="419">
        <v>1</v>
      </c>
      <c r="G33" s="420">
        <f t="shared" si="12"/>
        <v>1445</v>
      </c>
      <c r="H33" s="420">
        <f t="shared" si="13"/>
        <v>34680</v>
      </c>
      <c r="I33" s="423"/>
      <c r="L33" s="545"/>
    </row>
    <row r="34" spans="1:12" ht="22.15" customHeight="1">
      <c r="A34" s="421">
        <v>26</v>
      </c>
      <c r="B34" s="437" t="s">
        <v>634</v>
      </c>
      <c r="C34" s="421" t="s">
        <v>86</v>
      </c>
      <c r="D34" s="422">
        <f>'TK TA'!CA146</f>
        <v>8</v>
      </c>
      <c r="E34" s="418">
        <v>81000</v>
      </c>
      <c r="F34" s="419">
        <v>1</v>
      </c>
      <c r="G34" s="420">
        <f t="shared" si="12"/>
        <v>810</v>
      </c>
      <c r="H34" s="420">
        <f t="shared" si="13"/>
        <v>6480</v>
      </c>
      <c r="I34" s="423"/>
      <c r="J34" s="127" t="s">
        <v>1216</v>
      </c>
      <c r="L34" s="545"/>
    </row>
    <row r="35" spans="1:12" s="698" customFormat="1" ht="22.15" customHeight="1">
      <c r="A35" s="691">
        <v>27</v>
      </c>
      <c r="B35" s="692" t="s">
        <v>1544</v>
      </c>
      <c r="C35" s="691" t="s">
        <v>86</v>
      </c>
      <c r="D35" s="693">
        <f>'TK TA'!CB146</f>
        <v>27</v>
      </c>
      <c r="E35" s="694">
        <v>3820000</v>
      </c>
      <c r="F35" s="695">
        <v>1</v>
      </c>
      <c r="G35" s="696">
        <f t="shared" ref="G35:G38" si="14">E35*F35%</f>
        <v>38200</v>
      </c>
      <c r="H35" s="696">
        <f t="shared" ref="H35:H38" si="15">D35*G35</f>
        <v>1031400</v>
      </c>
      <c r="I35" s="697"/>
      <c r="J35" s="698">
        <f>3+6+6+6+12+6+6+6</f>
        <v>51</v>
      </c>
      <c r="L35" s="699"/>
    </row>
    <row r="36" spans="1:12" s="698" customFormat="1" ht="22.15" customHeight="1">
      <c r="A36" s="691">
        <v>28</v>
      </c>
      <c r="B36" s="692" t="s">
        <v>1549</v>
      </c>
      <c r="C36" s="691" t="s">
        <v>86</v>
      </c>
      <c r="D36" s="693">
        <f>'TK TA'!CC146</f>
        <v>6</v>
      </c>
      <c r="E36" s="694">
        <v>3590000</v>
      </c>
      <c r="F36" s="695">
        <v>1</v>
      </c>
      <c r="G36" s="696">
        <f t="shared" si="14"/>
        <v>35900</v>
      </c>
      <c r="H36" s="696">
        <f t="shared" si="15"/>
        <v>215400</v>
      </c>
      <c r="I36" s="697"/>
      <c r="L36" s="699"/>
    </row>
    <row r="37" spans="1:12" s="698" customFormat="1" ht="22.15" customHeight="1">
      <c r="A37" s="691">
        <v>29</v>
      </c>
      <c r="B37" s="692" t="s">
        <v>1550</v>
      </c>
      <c r="C37" s="691" t="s">
        <v>86</v>
      </c>
      <c r="D37" s="693">
        <f>'TK TA'!CD146</f>
        <v>12</v>
      </c>
      <c r="E37" s="694">
        <v>2650000</v>
      </c>
      <c r="F37" s="695">
        <v>1</v>
      </c>
      <c r="G37" s="696">
        <f t="shared" si="14"/>
        <v>26500</v>
      </c>
      <c r="H37" s="696">
        <f t="shared" si="15"/>
        <v>318000</v>
      </c>
      <c r="I37" s="697"/>
      <c r="L37" s="699"/>
    </row>
    <row r="38" spans="1:12" s="698" customFormat="1" ht="22.15" customHeight="1">
      <c r="A38" s="691">
        <v>30</v>
      </c>
      <c r="B38" s="692" t="s">
        <v>1548</v>
      </c>
      <c r="C38" s="691" t="s">
        <v>86</v>
      </c>
      <c r="D38" s="693">
        <f>'TK TA'!CE146</f>
        <v>6</v>
      </c>
      <c r="E38" s="694">
        <v>2410000</v>
      </c>
      <c r="F38" s="695">
        <v>1</v>
      </c>
      <c r="G38" s="696">
        <f t="shared" si="14"/>
        <v>24100</v>
      </c>
      <c r="H38" s="696">
        <f t="shared" si="15"/>
        <v>144600</v>
      </c>
      <c r="I38" s="697"/>
      <c r="L38" s="699"/>
    </row>
    <row r="39" spans="1:12" ht="20.45" customHeight="1">
      <c r="A39" s="421">
        <v>31</v>
      </c>
      <c r="B39" s="437" t="s">
        <v>876</v>
      </c>
      <c r="C39" s="421" t="s">
        <v>90</v>
      </c>
      <c r="D39" s="422">
        <f>'TK HA AP'!M70</f>
        <v>9</v>
      </c>
      <c r="E39" s="418">
        <v>2405000</v>
      </c>
      <c r="F39" s="419">
        <v>1</v>
      </c>
      <c r="G39" s="420">
        <f t="shared" si="12"/>
        <v>24050</v>
      </c>
      <c r="H39" s="420">
        <f t="shared" si="13"/>
        <v>216450</v>
      </c>
      <c r="I39" s="423"/>
      <c r="L39" s="545"/>
    </row>
    <row r="40" spans="1:12" ht="20.45" customHeight="1">
      <c r="A40" s="421">
        <v>32</v>
      </c>
      <c r="B40" s="437" t="s">
        <v>1008</v>
      </c>
      <c r="C40" s="421" t="s">
        <v>86</v>
      </c>
      <c r="D40" s="422">
        <f>'TK HA AP'!N70</f>
        <v>4</v>
      </c>
      <c r="E40" s="418">
        <v>47800</v>
      </c>
      <c r="F40" s="419">
        <v>1</v>
      </c>
      <c r="G40" s="420">
        <f t="shared" si="12"/>
        <v>478</v>
      </c>
      <c r="H40" s="420">
        <f t="shared" si="13"/>
        <v>1912</v>
      </c>
      <c r="I40" s="423"/>
      <c r="L40" s="545"/>
    </row>
    <row r="41" spans="1:12" ht="20.45" customHeight="1">
      <c r="A41" s="421">
        <v>33</v>
      </c>
      <c r="B41" s="437" t="s">
        <v>877</v>
      </c>
      <c r="C41" s="421" t="s">
        <v>86</v>
      </c>
      <c r="D41" s="422">
        <f>'TK HA AP'!O70</f>
        <v>7</v>
      </c>
      <c r="E41" s="418">
        <v>19000</v>
      </c>
      <c r="F41" s="419">
        <v>1</v>
      </c>
      <c r="G41" s="420">
        <f t="shared" si="12"/>
        <v>190</v>
      </c>
      <c r="H41" s="420">
        <f t="shared" si="13"/>
        <v>1330</v>
      </c>
      <c r="I41" s="423"/>
      <c r="L41" s="545"/>
    </row>
    <row r="42" spans="1:12" ht="20.45" customHeight="1">
      <c r="A42" s="421">
        <v>34</v>
      </c>
      <c r="B42" s="437" t="s">
        <v>881</v>
      </c>
      <c r="C42" s="421" t="s">
        <v>86</v>
      </c>
      <c r="D42" s="422">
        <f>'TK HA AP'!P70</f>
        <v>9</v>
      </c>
      <c r="E42" s="418">
        <v>37442</v>
      </c>
      <c r="F42" s="419">
        <v>1</v>
      </c>
      <c r="G42" s="420">
        <f t="shared" si="12"/>
        <v>374.42</v>
      </c>
      <c r="H42" s="420">
        <f t="shared" si="13"/>
        <v>3369.78</v>
      </c>
      <c r="I42" s="423"/>
      <c r="J42" s="127">
        <v>10</v>
      </c>
      <c r="L42" s="545"/>
    </row>
    <row r="43" spans="1:12" ht="20.45" customHeight="1">
      <c r="A43" s="421">
        <v>35</v>
      </c>
      <c r="B43" s="437" t="s">
        <v>941</v>
      </c>
      <c r="C43" s="421" t="s">
        <v>86</v>
      </c>
      <c r="D43" s="422">
        <f>'TK HA AP'!Q70</f>
        <v>187</v>
      </c>
      <c r="E43" s="418">
        <v>37000</v>
      </c>
      <c r="F43" s="419">
        <v>1</v>
      </c>
      <c r="G43" s="420">
        <f t="shared" si="12"/>
        <v>370</v>
      </c>
      <c r="H43" s="420">
        <f t="shared" si="13"/>
        <v>69190</v>
      </c>
      <c r="I43" s="423"/>
      <c r="J43" s="127">
        <f>92+95</f>
        <v>187</v>
      </c>
      <c r="L43" s="545"/>
    </row>
    <row r="44" spans="1:12" ht="20.45" customHeight="1">
      <c r="A44" s="421">
        <v>36</v>
      </c>
      <c r="B44" s="437" t="s">
        <v>942</v>
      </c>
      <c r="C44" s="421" t="s">
        <v>86</v>
      </c>
      <c r="D44" s="422">
        <f>'TK HA AP'!R70</f>
        <v>46</v>
      </c>
      <c r="E44" s="418">
        <v>38000</v>
      </c>
      <c r="F44" s="419">
        <v>1</v>
      </c>
      <c r="G44" s="420">
        <f t="shared" si="12"/>
        <v>380</v>
      </c>
      <c r="H44" s="420">
        <f t="shared" si="13"/>
        <v>17480</v>
      </c>
      <c r="I44" s="423"/>
      <c r="J44" s="127">
        <f>43+4</f>
        <v>47</v>
      </c>
      <c r="L44" s="545"/>
    </row>
    <row r="45" spans="1:12" ht="20.45" customHeight="1">
      <c r="A45" s="421">
        <v>37</v>
      </c>
      <c r="B45" s="437" t="s">
        <v>1022</v>
      </c>
      <c r="C45" s="421" t="s">
        <v>86</v>
      </c>
      <c r="D45" s="422">
        <f>'TK HA AP'!S70</f>
        <v>257</v>
      </c>
      <c r="E45" s="418">
        <v>13000</v>
      </c>
      <c r="F45" s="419">
        <v>1</v>
      </c>
      <c r="G45" s="420">
        <f t="shared" si="12"/>
        <v>130</v>
      </c>
      <c r="H45" s="420">
        <f t="shared" si="13"/>
        <v>33410</v>
      </c>
      <c r="I45" s="423"/>
      <c r="J45" s="127">
        <f>118+142</f>
        <v>260</v>
      </c>
      <c r="L45" s="545"/>
    </row>
    <row r="46" spans="1:12" s="163" customFormat="1" ht="20.45" customHeight="1">
      <c r="A46" s="424"/>
      <c r="B46" s="425" t="s">
        <v>79</v>
      </c>
      <c r="C46" s="421"/>
      <c r="D46" s="416"/>
      <c r="E46" s="426"/>
      <c r="F46" s="427"/>
      <c r="G46" s="428"/>
      <c r="H46" s="429" t="e">
        <f>SUM(H7:H45)</f>
        <v>#REF!</v>
      </c>
      <c r="I46" s="430" t="s">
        <v>27</v>
      </c>
      <c r="J46" s="163">
        <f>SUM(J42:J45)</f>
        <v>504</v>
      </c>
    </row>
    <row r="47" spans="1:12" ht="20.45" customHeight="1"/>
  </sheetData>
  <mergeCells count="11">
    <mergeCell ref="A2:I2"/>
    <mergeCell ref="B4:B5"/>
    <mergeCell ref="C4:C5"/>
    <mergeCell ref="D4:D5"/>
    <mergeCell ref="I4:I5"/>
    <mergeCell ref="A3:I3"/>
    <mergeCell ref="G4:G5"/>
    <mergeCell ref="F4:F5"/>
    <mergeCell ref="A4:A5"/>
    <mergeCell ref="E4:E5"/>
    <mergeCell ref="H4:H5"/>
  </mergeCells>
  <phoneticPr fontId="0" type="noConversion"/>
  <printOptions horizontalCentered="1"/>
  <pageMargins left="0.31496062992125984" right="0.11811023622047245" top="0.43307086614173229" bottom="0.51181102362204722" header="0.31496062992125984" footer="0.31496062992125984"/>
  <pageSetup paperSize="9" scale="98" firstPageNumber="11"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3"/>
  </sheetPr>
  <dimension ref="A1:M183"/>
  <sheetViews>
    <sheetView topLeftCell="A49" zoomScale="85" zoomScaleNormal="85" zoomScalePageLayoutView="70" workbookViewId="0">
      <selection activeCell="E57" sqref="E57:H58"/>
    </sheetView>
  </sheetViews>
  <sheetFormatPr defaultColWidth="12" defaultRowHeight="18.75"/>
  <cols>
    <col min="1" max="1" width="2.83203125" style="12" customWidth="1"/>
    <col min="2" max="2" width="8" style="12" customWidth="1"/>
    <col min="3" max="3" width="5.5" style="12" customWidth="1"/>
    <col min="4" max="4" width="23.83203125" style="12" customWidth="1"/>
    <col min="5" max="5" width="16" style="12" customWidth="1"/>
    <col min="6" max="6" width="17" style="12" customWidth="1"/>
    <col min="7" max="7" width="13.33203125" style="12" customWidth="1"/>
    <col min="8" max="8" width="11" style="12" customWidth="1"/>
    <col min="9" max="9" width="2.6640625" style="12" customWidth="1"/>
    <col min="10" max="10" width="15.5" style="12" customWidth="1"/>
    <col min="11" max="12" width="12" style="12"/>
    <col min="13" max="13" width="28.1640625" style="12" customWidth="1"/>
    <col min="14" max="16384" width="12" style="12"/>
  </cols>
  <sheetData>
    <row r="1" spans="1:9" s="10" customFormat="1" ht="30" customHeight="1">
      <c r="A1" s="9"/>
      <c r="I1" s="11"/>
    </row>
    <row r="2" spans="1:9" s="23" customFormat="1" ht="30" customHeight="1">
      <c r="A2" s="945" t="str">
        <f>'Bia tap 1'!A2:I2</f>
        <v>CÔNG TY ĐIỆN LỰC KHÁNH HÒA</v>
      </c>
      <c r="B2" s="946"/>
      <c r="C2" s="946"/>
      <c r="D2" s="946"/>
      <c r="E2" s="946"/>
      <c r="F2" s="946"/>
      <c r="G2" s="946"/>
      <c r="H2" s="946"/>
      <c r="I2" s="947"/>
    </row>
    <row r="3" spans="1:9" s="23" customFormat="1" ht="30" customHeight="1">
      <c r="A3" s="948" t="str">
        <f>'Bia tap 1'!A3:I3</f>
        <v xml:space="preserve"> ĐIỆN LỰC THUẬN BẮC </v>
      </c>
      <c r="B3" s="949"/>
      <c r="C3" s="949"/>
      <c r="D3" s="949"/>
      <c r="E3" s="949"/>
      <c r="F3" s="949"/>
      <c r="G3" s="949"/>
      <c r="H3" s="949"/>
      <c r="I3" s="950"/>
    </row>
    <row r="4" spans="1:9" s="23" customFormat="1" ht="30" customHeight="1" thickBot="1">
      <c r="A4" s="188"/>
      <c r="B4" s="189"/>
      <c r="C4" s="189"/>
      <c r="D4" s="189"/>
      <c r="E4" s="189"/>
      <c r="F4" s="189"/>
      <c r="G4" s="189"/>
      <c r="H4" s="189"/>
      <c r="I4" s="190"/>
    </row>
    <row r="5" spans="1:9" s="23" customFormat="1" ht="15.75">
      <c r="A5" s="22"/>
      <c r="I5" s="25"/>
    </row>
    <row r="6" spans="1:9" s="23" customFormat="1" ht="26.25" customHeight="1">
      <c r="A6" s="951" t="str">
        <f>'Bia tap 1'!A6:I6</f>
        <v>SCL - 2026</v>
      </c>
      <c r="B6" s="952"/>
      <c r="C6" s="952"/>
      <c r="D6" s="952"/>
      <c r="E6" s="952"/>
      <c r="F6" s="952"/>
      <c r="G6" s="952"/>
      <c r="H6" s="952"/>
      <c r="I6" s="953"/>
    </row>
    <row r="7" spans="1:9" s="23" customFormat="1" ht="54" customHeight="1">
      <c r="A7" s="964" t="s">
        <v>495</v>
      </c>
      <c r="B7" s="958"/>
      <c r="C7" s="958"/>
      <c r="D7" s="958"/>
      <c r="E7" s="958"/>
      <c r="F7" s="958"/>
      <c r="G7" s="958"/>
      <c r="H7" s="958"/>
      <c r="I7" s="25"/>
    </row>
    <row r="8" spans="1:9" s="23" customFormat="1" ht="39.75" customHeight="1">
      <c r="A8" s="22"/>
      <c r="E8" s="180"/>
      <c r="I8" s="25"/>
    </row>
    <row r="9" spans="1:9" s="23" customFormat="1" ht="30" customHeight="1">
      <c r="A9" s="954" t="s">
        <v>256</v>
      </c>
      <c r="B9" s="955"/>
      <c r="C9" s="955"/>
      <c r="D9" s="955"/>
      <c r="E9" s="955"/>
      <c r="F9" s="955"/>
      <c r="G9" s="955"/>
      <c r="H9" s="955"/>
      <c r="I9" s="956"/>
    </row>
    <row r="10" spans="1:9" s="23" customFormat="1" ht="30" customHeight="1">
      <c r="A10" s="954" t="str">
        <f>'Bia tap 1'!A10:I10</f>
        <v>SỬA CHỮA LỚN NĂM 2026</v>
      </c>
      <c r="B10" s="955"/>
      <c r="C10" s="955"/>
      <c r="D10" s="955"/>
      <c r="E10" s="955"/>
      <c r="F10" s="955"/>
      <c r="G10" s="955"/>
      <c r="H10" s="955"/>
      <c r="I10" s="956"/>
    </row>
    <row r="11" spans="1:9" s="23" customFormat="1" ht="44.45" customHeight="1">
      <c r="A11" s="319"/>
      <c r="B11" s="320"/>
      <c r="C11" s="320"/>
      <c r="D11" s="320"/>
      <c r="E11" s="320"/>
      <c r="F11" s="320"/>
      <c r="G11" s="320"/>
      <c r="H11" s="320"/>
      <c r="I11" s="321"/>
    </row>
    <row r="12" spans="1:9" s="23" customFormat="1" ht="19.5">
      <c r="A12" s="22"/>
      <c r="E12" s="24"/>
      <c r="I12" s="25"/>
    </row>
    <row r="13" spans="1:9" s="23" customFormat="1">
      <c r="A13" s="22"/>
      <c r="E13" s="3" t="s">
        <v>17</v>
      </c>
      <c r="F13" s="26"/>
      <c r="I13" s="25"/>
    </row>
    <row r="14" spans="1:9" s="23" customFormat="1">
      <c r="A14" s="22"/>
      <c r="E14" s="3"/>
      <c r="F14" s="26"/>
      <c r="I14" s="25"/>
    </row>
    <row r="15" spans="1:9" s="23" customFormat="1">
      <c r="A15" s="957" t="str">
        <f>'Bia tap 1'!A15:I15</f>
        <v>CÔNG TRÌNH: SỬA CHỮA LƯỚI ĐIỆN THA</v>
      </c>
      <c r="B15" s="958"/>
      <c r="C15" s="958"/>
      <c r="D15" s="958"/>
      <c r="E15" s="958"/>
      <c r="F15" s="958"/>
      <c r="G15" s="958"/>
      <c r="H15" s="958"/>
      <c r="I15" s="959"/>
    </row>
    <row r="16" spans="1:9" s="23" customFormat="1">
      <c r="A16" s="957" t="str">
        <f>'Bia tap 1'!A47:I47</f>
        <v xml:space="preserve"> KHU VỰC ĐỘI QLĐ THUẬN BẮC (ĐỢT 2 NĂM 2026)</v>
      </c>
      <c r="B16" s="958"/>
      <c r="C16" s="958"/>
      <c r="D16" s="958"/>
      <c r="E16" s="958"/>
      <c r="F16" s="958"/>
      <c r="G16" s="958"/>
      <c r="H16" s="958"/>
      <c r="I16" s="959"/>
    </row>
    <row r="17" spans="1:10" s="23" customFormat="1">
      <c r="A17" s="316"/>
      <c r="B17" s="317"/>
      <c r="C17" s="317"/>
      <c r="D17" s="317"/>
      <c r="E17" s="317"/>
      <c r="F17" s="317"/>
      <c r="G17" s="317"/>
      <c r="H17" s="317"/>
      <c r="I17" s="318"/>
    </row>
    <row r="18" spans="1:10" s="23" customFormat="1" ht="39.75" customHeight="1">
      <c r="A18" s="960"/>
      <c r="B18" s="961"/>
      <c r="C18" s="961"/>
      <c r="D18" s="961"/>
      <c r="E18" s="961"/>
      <c r="F18" s="961"/>
      <c r="G18" s="961"/>
      <c r="H18" s="961"/>
      <c r="I18" s="962"/>
    </row>
    <row r="19" spans="1:10" s="23" customFormat="1" ht="35.450000000000003" customHeight="1">
      <c r="A19" s="22"/>
      <c r="C19" s="187"/>
      <c r="D19" s="191"/>
      <c r="E19" s="27"/>
      <c r="F19" s="192"/>
      <c r="G19" s="27"/>
      <c r="H19" s="185"/>
      <c r="I19" s="25"/>
      <c r="J19" s="185"/>
    </row>
    <row r="20" spans="1:10" s="23" customFormat="1" ht="15.75">
      <c r="A20" s="22"/>
      <c r="C20" s="187"/>
      <c r="D20" s="193"/>
      <c r="E20" s="27"/>
      <c r="F20" s="27"/>
      <c r="G20" s="27"/>
      <c r="I20" s="25"/>
    </row>
    <row r="21" spans="1:10" s="23" customFormat="1" ht="15.75">
      <c r="A21" s="22"/>
      <c r="C21" s="187"/>
      <c r="D21" s="193"/>
      <c r="E21" s="27"/>
      <c r="F21" s="27"/>
      <c r="G21" s="27"/>
      <c r="I21" s="25"/>
    </row>
    <row r="22" spans="1:10" s="23" customFormat="1" ht="15.75">
      <c r="A22" s="22"/>
      <c r="C22" s="187"/>
      <c r="D22" s="193"/>
      <c r="E22" s="27"/>
      <c r="F22" s="27"/>
      <c r="G22" s="27"/>
      <c r="I22" s="25"/>
    </row>
    <row r="23" spans="1:10" s="23" customFormat="1" ht="16.5">
      <c r="A23" s="22"/>
      <c r="D23" s="194"/>
      <c r="E23" s="27"/>
      <c r="F23" s="192"/>
      <c r="G23" s="27"/>
      <c r="I23" s="25"/>
    </row>
    <row r="24" spans="1:10" s="23" customFormat="1" ht="25.5" customHeight="1">
      <c r="A24" s="22"/>
      <c r="D24" s="187"/>
      <c r="I24" s="25"/>
    </row>
    <row r="25" spans="1:10" s="23" customFormat="1" ht="25.5" customHeight="1">
      <c r="A25" s="22"/>
      <c r="D25" s="187"/>
      <c r="I25" s="25"/>
    </row>
    <row r="26" spans="1:10" s="23" customFormat="1" ht="16.5">
      <c r="A26" s="22"/>
      <c r="C26" s="155"/>
      <c r="F26" s="963"/>
      <c r="G26" s="963"/>
      <c r="H26" s="963"/>
      <c r="I26" s="25"/>
    </row>
    <row r="27" spans="1:10" s="23" customFormat="1" ht="15.75">
      <c r="A27" s="22"/>
      <c r="I27" s="25"/>
    </row>
    <row r="28" spans="1:10" s="23" customFormat="1" ht="15.75">
      <c r="A28" s="22"/>
      <c r="C28" s="179"/>
      <c r="I28" s="25"/>
    </row>
    <row r="29" spans="1:10" s="23" customFormat="1" ht="15.75">
      <c r="A29" s="22"/>
      <c r="C29" s="179"/>
      <c r="I29" s="25"/>
    </row>
    <row r="30" spans="1:10" s="23" customFormat="1" ht="15" customHeight="1">
      <c r="A30" s="22"/>
      <c r="C30" s="179"/>
      <c r="D30" s="155"/>
      <c r="I30" s="25"/>
    </row>
    <row r="31" spans="1:10" s="23" customFormat="1" ht="32.25" customHeight="1">
      <c r="A31" s="942" t="str">
        <f>'Bia tap 1'!A31:I31</f>
        <v>Năm 2026</v>
      </c>
      <c r="B31" s="943"/>
      <c r="C31" s="943"/>
      <c r="D31" s="943"/>
      <c r="E31" s="943"/>
      <c r="F31" s="943"/>
      <c r="G31" s="943"/>
      <c r="H31" s="943"/>
      <c r="I31" s="944"/>
    </row>
    <row r="32" spans="1:10" ht="18.75" customHeight="1" thickBot="1">
      <c r="A32" s="13"/>
      <c r="B32" s="14"/>
      <c r="C32" s="14"/>
      <c r="D32" s="14"/>
      <c r="E32" s="14"/>
      <c r="F32" s="14"/>
      <c r="G32" s="14"/>
      <c r="H32" s="14"/>
      <c r="I32" s="15"/>
    </row>
    <row r="33" spans="1:9" s="10" customFormat="1" ht="30" customHeight="1">
      <c r="A33" s="9"/>
      <c r="I33" s="11"/>
    </row>
    <row r="34" spans="1:9" s="23" customFormat="1" ht="30" customHeight="1">
      <c r="A34" s="945" t="str">
        <f>'Bia tap 1'!A34:I34</f>
        <v>CÔNG TY ĐIỆN LỰC KHÁNH HÒA</v>
      </c>
      <c r="B34" s="946"/>
      <c r="C34" s="946"/>
      <c r="D34" s="946"/>
      <c r="E34" s="946"/>
      <c r="F34" s="946"/>
      <c r="G34" s="946"/>
      <c r="H34" s="946"/>
      <c r="I34" s="947"/>
    </row>
    <row r="35" spans="1:9" s="23" customFormat="1" ht="30" customHeight="1">
      <c r="A35" s="948" t="str">
        <f>'Bia tap 1'!A35:I35</f>
        <v xml:space="preserve">ĐIỆN LỰC THUẬN BẮC </v>
      </c>
      <c r="B35" s="949"/>
      <c r="C35" s="949"/>
      <c r="D35" s="949"/>
      <c r="E35" s="949"/>
      <c r="F35" s="949"/>
      <c r="G35" s="949"/>
      <c r="H35" s="949"/>
      <c r="I35" s="950"/>
    </row>
    <row r="36" spans="1:9" s="23" customFormat="1" ht="15" customHeight="1">
      <c r="A36" s="22"/>
      <c r="G36" s="23" t="s">
        <v>29</v>
      </c>
      <c r="I36" s="25"/>
    </row>
    <row r="37" spans="1:9" s="23" customFormat="1" ht="15.75">
      <c r="A37" s="176"/>
      <c r="B37" s="177"/>
      <c r="C37" s="177"/>
      <c r="D37" s="177"/>
      <c r="E37" s="177"/>
      <c r="F37" s="177"/>
      <c r="G37" s="177"/>
      <c r="H37" s="177"/>
      <c r="I37" s="178"/>
    </row>
    <row r="38" spans="1:9" s="23" customFormat="1" ht="18.75" customHeight="1">
      <c r="A38" s="951" t="str">
        <f>'Bia tap 1'!A38:I38</f>
        <v>SCL - 2026</v>
      </c>
      <c r="B38" s="952"/>
      <c r="C38" s="952"/>
      <c r="D38" s="952"/>
      <c r="E38" s="952"/>
      <c r="F38" s="952"/>
      <c r="G38" s="952"/>
      <c r="H38" s="952"/>
      <c r="I38" s="953"/>
    </row>
    <row r="39" spans="1:9" s="23" customFormat="1" ht="15.75">
      <c r="A39" s="22"/>
      <c r="E39" s="179"/>
      <c r="I39" s="25"/>
    </row>
    <row r="40" spans="1:9" s="23" customFormat="1" ht="28.15" customHeight="1">
      <c r="A40" s="22"/>
      <c r="E40" s="179"/>
      <c r="I40" s="25"/>
    </row>
    <row r="41" spans="1:9" s="23" customFormat="1" ht="15.75">
      <c r="A41" s="22"/>
      <c r="E41" s="180"/>
      <c r="I41" s="25"/>
    </row>
    <row r="42" spans="1:9" s="23" customFormat="1" ht="30" customHeight="1">
      <c r="A42" s="954" t="str">
        <f>'Bia tap 1'!A9:I9</f>
        <v>PHƯƠNG ÁN KỸ THUẬT - DỰ TOÁN</v>
      </c>
      <c r="B42" s="955"/>
      <c r="C42" s="955"/>
      <c r="D42" s="955"/>
      <c r="E42" s="955"/>
      <c r="F42" s="955"/>
      <c r="G42" s="955"/>
      <c r="H42" s="955"/>
      <c r="I42" s="956"/>
    </row>
    <row r="43" spans="1:9" s="23" customFormat="1" ht="30" customHeight="1">
      <c r="A43" s="965" t="str">
        <f>'Bia tap 1'!A10:I10</f>
        <v>SỬA CHỮA LỚN NĂM 2026</v>
      </c>
      <c r="B43" s="966"/>
      <c r="C43" s="966"/>
      <c r="D43" s="966"/>
      <c r="E43" s="966"/>
      <c r="F43" s="966"/>
      <c r="G43" s="966"/>
      <c r="H43" s="966"/>
      <c r="I43" s="967"/>
    </row>
    <row r="44" spans="1:9" s="23" customFormat="1" ht="19.5">
      <c r="A44" s="22"/>
      <c r="E44" s="24"/>
      <c r="I44" s="25"/>
    </row>
    <row r="45" spans="1:9" s="23" customFormat="1" ht="38.450000000000003" customHeight="1">
      <c r="A45" s="979" t="s">
        <v>18</v>
      </c>
      <c r="B45" s="980"/>
      <c r="C45" s="980"/>
      <c r="D45" s="980"/>
      <c r="E45" s="980"/>
      <c r="F45" s="980"/>
      <c r="G45" s="980"/>
      <c r="H45" s="980"/>
      <c r="I45" s="981"/>
    </row>
    <row r="46" spans="1:9" s="23" customFormat="1" ht="25.5" customHeight="1">
      <c r="A46" s="970" t="str">
        <f>'Bia tap 1'!A15:I15</f>
        <v>CÔNG TRÌNH: SỬA CHỮA LƯỚI ĐIỆN THA</v>
      </c>
      <c r="B46" s="971"/>
      <c r="C46" s="971"/>
      <c r="D46" s="971"/>
      <c r="E46" s="971"/>
      <c r="F46" s="971"/>
      <c r="G46" s="971"/>
      <c r="H46" s="971"/>
      <c r="I46" s="972"/>
    </row>
    <row r="47" spans="1:9" s="23" customFormat="1" ht="31.5" customHeight="1">
      <c r="A47" s="973" t="str">
        <f>'Bia tap 1'!A16:I16</f>
        <v xml:space="preserve"> KHU VỰC ĐỘI QLĐ THUẬN BẮC (ĐỢT 2 NĂM 2026)</v>
      </c>
      <c r="B47" s="974"/>
      <c r="C47" s="974"/>
      <c r="D47" s="974"/>
      <c r="E47" s="974"/>
      <c r="F47" s="974"/>
      <c r="G47" s="974"/>
      <c r="H47" s="974"/>
      <c r="I47" s="975"/>
    </row>
    <row r="48" spans="1:9" s="23" customFormat="1" ht="62.65" customHeight="1">
      <c r="A48" s="957" t="s">
        <v>495</v>
      </c>
      <c r="B48" s="976"/>
      <c r="C48" s="976"/>
      <c r="D48" s="976"/>
      <c r="E48" s="976"/>
      <c r="F48" s="976"/>
      <c r="G48" s="976"/>
      <c r="H48" s="976"/>
      <c r="I48" s="977"/>
    </row>
    <row r="49" spans="1:13" s="182" customFormat="1" ht="36.6" customHeight="1">
      <c r="A49" s="181"/>
      <c r="D49" s="982"/>
      <c r="E49" s="983"/>
      <c r="F49" s="29"/>
      <c r="G49" s="30"/>
      <c r="I49" s="183"/>
      <c r="M49" s="29"/>
    </row>
    <row r="50" spans="1:13" s="182" customFormat="1" ht="34.5" customHeight="1">
      <c r="A50" s="181"/>
      <c r="D50" s="156"/>
      <c r="E50" s="157"/>
      <c r="F50" s="29"/>
      <c r="G50" s="30"/>
      <c r="I50" s="183"/>
      <c r="J50" s="184"/>
      <c r="M50" s="112"/>
    </row>
    <row r="51" spans="1:13" s="182" customFormat="1" ht="36" hidden="1" customHeight="1">
      <c r="A51" s="181"/>
      <c r="D51" s="156"/>
      <c r="E51" s="157"/>
      <c r="F51" s="29"/>
      <c r="G51" s="30"/>
      <c r="I51" s="183"/>
      <c r="J51" s="184"/>
    </row>
    <row r="52" spans="1:13" s="23" customFormat="1" ht="36" hidden="1" customHeight="1">
      <c r="A52" s="22"/>
      <c r="D52" s="27"/>
      <c r="E52" s="27"/>
      <c r="F52" s="27"/>
      <c r="G52" s="27"/>
      <c r="I52" s="25"/>
    </row>
    <row r="53" spans="1:13" s="23" customFormat="1" ht="36.6" customHeight="1">
      <c r="A53" s="22"/>
      <c r="D53" s="315" t="s">
        <v>641</v>
      </c>
      <c r="E53" s="978" t="s">
        <v>264</v>
      </c>
      <c r="F53" s="978"/>
      <c r="G53" s="28"/>
      <c r="I53" s="25"/>
      <c r="M53" s="185"/>
    </row>
    <row r="54" spans="1:13" s="23" customFormat="1" ht="36.6" customHeight="1">
      <c r="A54" s="22"/>
      <c r="D54" s="315" t="s">
        <v>15</v>
      </c>
      <c r="E54" s="978" t="s">
        <v>273</v>
      </c>
      <c r="F54" s="978"/>
      <c r="G54" s="186"/>
      <c r="I54" s="25"/>
    </row>
    <row r="55" spans="1:13" s="23" customFormat="1" ht="15.75">
      <c r="A55" s="22"/>
      <c r="D55" s="187"/>
      <c r="I55" s="25"/>
    </row>
    <row r="56" spans="1:13" s="23" customFormat="1" ht="26.45" customHeight="1">
      <c r="A56" s="22"/>
      <c r="E56" s="968" t="s">
        <v>1029</v>
      </c>
      <c r="F56" s="968"/>
      <c r="G56" s="968"/>
      <c r="H56" s="968"/>
      <c r="I56" s="25"/>
    </row>
    <row r="57" spans="1:13" s="23" customFormat="1" ht="16.5">
      <c r="A57" s="22"/>
      <c r="C57" s="155"/>
      <c r="E57" s="969" t="s">
        <v>1144</v>
      </c>
      <c r="F57" s="969"/>
      <c r="G57" s="969"/>
      <c r="H57" s="969"/>
      <c r="I57" s="25"/>
    </row>
    <row r="58" spans="1:13" s="23" customFormat="1" ht="16.5">
      <c r="A58" s="22"/>
      <c r="E58" s="969" t="s">
        <v>1145</v>
      </c>
      <c r="F58" s="969"/>
      <c r="G58" s="969"/>
      <c r="H58" s="969"/>
      <c r="I58" s="25"/>
    </row>
    <row r="59" spans="1:13" s="23" customFormat="1" ht="16.5">
      <c r="A59" s="22"/>
      <c r="E59" s="155"/>
      <c r="F59" s="155"/>
      <c r="G59" s="155"/>
      <c r="H59" s="155"/>
      <c r="I59" s="25"/>
    </row>
    <row r="60" spans="1:13" s="23" customFormat="1" ht="16.5">
      <c r="A60" s="22"/>
      <c r="E60" s="155"/>
      <c r="F60" s="155"/>
      <c r="G60" s="155"/>
      <c r="H60" s="155"/>
      <c r="I60" s="25"/>
    </row>
    <row r="61" spans="1:13" s="23" customFormat="1" ht="16.5">
      <c r="A61" s="22"/>
      <c r="E61" s="155"/>
      <c r="F61" s="155"/>
      <c r="G61" s="155"/>
      <c r="H61" s="155"/>
      <c r="I61" s="25"/>
    </row>
    <row r="62" spans="1:13" s="23" customFormat="1" ht="15.75">
      <c r="A62" s="22"/>
      <c r="C62" s="179"/>
      <c r="I62" s="25"/>
    </row>
    <row r="63" spans="1:13" s="23" customFormat="1" ht="15.75">
      <c r="A63" s="22"/>
      <c r="C63" s="179"/>
      <c r="I63" s="25"/>
    </row>
    <row r="64" spans="1:13" s="23" customFormat="1" ht="15.75">
      <c r="A64" s="22"/>
      <c r="I64" s="25"/>
    </row>
    <row r="65" spans="1:9" s="23" customFormat="1" ht="16.5">
      <c r="A65" s="22"/>
      <c r="E65" s="969" t="s">
        <v>265</v>
      </c>
      <c r="F65" s="969"/>
      <c r="G65" s="969"/>
      <c r="H65" s="969"/>
      <c r="I65" s="25"/>
    </row>
    <row r="66" spans="1:9" ht="19.5" thickBot="1">
      <c r="A66" s="13"/>
      <c r="B66" s="14"/>
      <c r="C66" s="14"/>
      <c r="D66" s="14"/>
      <c r="E66" s="14"/>
      <c r="F66" s="14"/>
      <c r="G66" s="14"/>
      <c r="H66" s="14"/>
      <c r="I66" s="15"/>
    </row>
    <row r="68" spans="1:9" ht="18.75" customHeight="1"/>
    <row r="104" ht="15" customHeight="1"/>
    <row r="105" ht="18.75" customHeight="1"/>
    <row r="109" ht="31.5" customHeight="1"/>
    <row r="110" ht="14.25" customHeight="1"/>
    <row r="120" ht="26.25" customHeight="1"/>
    <row r="176" spans="3:3" ht="20.25">
      <c r="C176" s="17"/>
    </row>
    <row r="177" spans="3:5" ht="20.25">
      <c r="C177" s="17"/>
    </row>
    <row r="178" spans="3:5">
      <c r="C178" s="16"/>
    </row>
    <row r="179" spans="3:5">
      <c r="C179" s="16"/>
    </row>
    <row r="180" spans="3:5">
      <c r="E180" s="16"/>
    </row>
    <row r="182" spans="3:5" ht="20.25">
      <c r="E182" s="17"/>
    </row>
    <row r="183" spans="3:5" ht="20.25">
      <c r="E183" s="18"/>
    </row>
  </sheetData>
  <mergeCells count="27">
    <mergeCell ref="A43:I43"/>
    <mergeCell ref="E56:H56"/>
    <mergeCell ref="E57:H57"/>
    <mergeCell ref="E58:H58"/>
    <mergeCell ref="E65:H65"/>
    <mergeCell ref="A46:I46"/>
    <mergeCell ref="A47:I47"/>
    <mergeCell ref="A48:I48"/>
    <mergeCell ref="D49:E49"/>
    <mergeCell ref="E53:F53"/>
    <mergeCell ref="E54:F54"/>
    <mergeCell ref="A45:I45"/>
    <mergeCell ref="A2:I2"/>
    <mergeCell ref="A3:I3"/>
    <mergeCell ref="A6:I6"/>
    <mergeCell ref="A7:H7"/>
    <mergeCell ref="A9:I9"/>
    <mergeCell ref="A10:I10"/>
    <mergeCell ref="A15:I15"/>
    <mergeCell ref="A16:I16"/>
    <mergeCell ref="A18:I18"/>
    <mergeCell ref="F26:H26"/>
    <mergeCell ref="A31:I31"/>
    <mergeCell ref="A34:I34"/>
    <mergeCell ref="A35:I35"/>
    <mergeCell ref="A38:I38"/>
    <mergeCell ref="A42:I42"/>
  </mergeCells>
  <dataValidations count="1">
    <dataValidation allowBlank="1" showInputMessage="1" showErrorMessage="1" prompt="He so: 1,2_x000a_CV :616" sqref="D55:D63 D24:D30" xr:uid="{00000000-0002-0000-0100-000000000000}"/>
  </dataValidations>
  <printOptions horizontalCentered="1" verticalCentered="1"/>
  <pageMargins left="0.55118110236220497" right="0.35433070866141703" top="0.59055118110236204" bottom="0.59055118110236204" header="0.31496062992126" footer="0.31496062992126"/>
  <pageSetup paperSize="9" scale="98" firstPageNumber="6" orientation="portrait" useFirstPageNumber="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2"/>
  <sheetViews>
    <sheetView workbookViewId="0">
      <selection activeCell="L13" sqref="L13"/>
    </sheetView>
  </sheetViews>
  <sheetFormatPr defaultRowHeight="12.75"/>
  <cols>
    <col min="1" max="1" width="6.5" customWidth="1"/>
    <col min="2" max="2" width="12" customWidth="1"/>
    <col min="3" max="3" width="42.83203125" customWidth="1"/>
    <col min="5" max="5" width="11.1640625" customWidth="1"/>
    <col min="6" max="6" width="12.5" customWidth="1"/>
    <col min="7" max="7" width="17.83203125" customWidth="1"/>
  </cols>
  <sheetData>
    <row r="1" spans="1:9" ht="16.5">
      <c r="A1" s="986" t="s">
        <v>230</v>
      </c>
      <c r="B1" s="986"/>
      <c r="C1" s="986"/>
      <c r="D1" s="986"/>
      <c r="E1" s="986"/>
      <c r="F1" s="986"/>
      <c r="G1" s="986"/>
    </row>
    <row r="2" spans="1:9" ht="14.25">
      <c r="A2" s="106" t="s">
        <v>231</v>
      </c>
      <c r="B2" s="106" t="s">
        <v>232</v>
      </c>
      <c r="C2" s="106" t="s">
        <v>233</v>
      </c>
      <c r="D2" s="106" t="s">
        <v>47</v>
      </c>
      <c r="E2" s="106" t="s">
        <v>234</v>
      </c>
      <c r="F2" s="107" t="s">
        <v>48</v>
      </c>
      <c r="G2" s="107" t="s">
        <v>84</v>
      </c>
    </row>
    <row r="3" spans="1:9" ht="14.25">
      <c r="A3" s="106">
        <v>1</v>
      </c>
      <c r="B3" s="106" t="s">
        <v>235</v>
      </c>
      <c r="C3" s="208" t="s">
        <v>225</v>
      </c>
      <c r="D3" s="106" t="s">
        <v>91</v>
      </c>
      <c r="E3" s="106"/>
      <c r="F3" s="209"/>
      <c r="G3" s="209">
        <f>SUM(G4:G5)</f>
        <v>60634.570999999996</v>
      </c>
    </row>
    <row r="4" spans="1:9" ht="15">
      <c r="A4" s="205"/>
      <c r="B4" s="205"/>
      <c r="C4" s="210" t="s">
        <v>302</v>
      </c>
      <c r="D4" s="205" t="s">
        <v>236</v>
      </c>
      <c r="E4" s="205">
        <v>9.5000000000000001E-2</v>
      </c>
      <c r="F4" s="360">
        <v>351080</v>
      </c>
      <c r="G4" s="211">
        <f>+F4*E4</f>
        <v>33352.6</v>
      </c>
      <c r="I4">
        <v>209</v>
      </c>
    </row>
    <row r="5" spans="1:9" ht="15">
      <c r="A5" s="205"/>
      <c r="B5" s="205"/>
      <c r="C5" s="210" t="s">
        <v>237</v>
      </c>
      <c r="D5" s="205" t="s">
        <v>236</v>
      </c>
      <c r="E5" s="205">
        <v>8.8999999999999996E-2</v>
      </c>
      <c r="F5" s="360">
        <v>306539</v>
      </c>
      <c r="G5" s="211">
        <f>+F5*E5</f>
        <v>27281.970999999998</v>
      </c>
      <c r="I5">
        <v>419</v>
      </c>
    </row>
    <row r="6" spans="1:9" ht="14.25">
      <c r="A6" s="106">
        <v>2</v>
      </c>
      <c r="B6" s="106" t="s">
        <v>194</v>
      </c>
      <c r="C6" s="208" t="s">
        <v>238</v>
      </c>
      <c r="D6" s="106" t="s">
        <v>168</v>
      </c>
      <c r="E6" s="106"/>
      <c r="F6" s="212"/>
      <c r="G6" s="212">
        <f>SUM(G7)</f>
        <v>2005.4749999999999</v>
      </c>
    </row>
    <row r="7" spans="1:9" ht="15">
      <c r="A7" s="205"/>
      <c r="B7" s="205"/>
      <c r="C7" s="210" t="s">
        <v>239</v>
      </c>
      <c r="D7" s="205" t="s">
        <v>236</v>
      </c>
      <c r="E7" s="205">
        <v>0.05</v>
      </c>
      <c r="F7" s="360">
        <v>401095</v>
      </c>
      <c r="G7" s="211">
        <f>+F7*E7/10</f>
        <v>2005.4749999999999</v>
      </c>
      <c r="I7">
        <v>463</v>
      </c>
    </row>
    <row r="8" spans="1:9" ht="14.25">
      <c r="A8" s="106">
        <v>3</v>
      </c>
      <c r="B8" s="106" t="s">
        <v>274</v>
      </c>
      <c r="C8" s="208" t="s">
        <v>303</v>
      </c>
      <c r="D8" s="106" t="s">
        <v>90</v>
      </c>
      <c r="E8" s="106"/>
      <c r="F8" s="212"/>
      <c r="G8" s="212">
        <f>SUM(G9)</f>
        <v>400518.18</v>
      </c>
    </row>
    <row r="9" spans="1:9" ht="15">
      <c r="A9" s="205"/>
      <c r="B9" s="205"/>
      <c r="C9" s="210" t="s">
        <v>241</v>
      </c>
      <c r="D9" s="205" t="s">
        <v>236</v>
      </c>
      <c r="E9" s="205">
        <v>0.18</v>
      </c>
      <c r="F9" s="211">
        <v>2225101</v>
      </c>
      <c r="G9" s="211">
        <f>+F9*E9</f>
        <v>400518.18</v>
      </c>
    </row>
    <row r="10" spans="1:9" ht="14.25">
      <c r="A10" s="106">
        <v>4</v>
      </c>
      <c r="B10" s="106" t="s">
        <v>117</v>
      </c>
      <c r="C10" s="208" t="s">
        <v>240</v>
      </c>
      <c r="D10" s="106" t="s">
        <v>90</v>
      </c>
      <c r="E10" s="106"/>
      <c r="F10" s="212"/>
      <c r="G10" s="212">
        <f>SUM(G11)</f>
        <v>400518.18</v>
      </c>
    </row>
    <row r="11" spans="1:9" s="444" customFormat="1" ht="15">
      <c r="A11" s="442"/>
      <c r="B11" s="442"/>
      <c r="C11" s="443" t="s">
        <v>241</v>
      </c>
      <c r="D11" s="442" t="s">
        <v>236</v>
      </c>
      <c r="E11" s="442">
        <v>0.18</v>
      </c>
      <c r="F11" s="360">
        <v>2225101</v>
      </c>
      <c r="G11" s="211">
        <f>+F11*E11</f>
        <v>400518.18</v>
      </c>
      <c r="I11" s="444">
        <v>63</v>
      </c>
    </row>
    <row r="12" spans="1:9" ht="14.25">
      <c r="A12" s="106">
        <v>5</v>
      </c>
      <c r="B12" s="106" t="s">
        <v>229</v>
      </c>
      <c r="C12" s="208" t="s">
        <v>242</v>
      </c>
      <c r="D12" s="106" t="s">
        <v>90</v>
      </c>
      <c r="E12" s="106"/>
      <c r="F12" s="212"/>
      <c r="G12" s="212">
        <f>SUM(G13)</f>
        <v>280362.72600000002</v>
      </c>
    </row>
    <row r="13" spans="1:9" ht="15">
      <c r="A13" s="205"/>
      <c r="B13" s="205"/>
      <c r="C13" s="210" t="s">
        <v>241</v>
      </c>
      <c r="D13" s="205" t="s">
        <v>236</v>
      </c>
      <c r="E13" s="205">
        <v>0.126</v>
      </c>
      <c r="F13" s="211">
        <f>+F9</f>
        <v>2225101</v>
      </c>
      <c r="G13" s="211">
        <f>+F13*E13</f>
        <v>280362.72600000002</v>
      </c>
    </row>
    <row r="14" spans="1:9" ht="14.25">
      <c r="A14" s="106">
        <v>6</v>
      </c>
      <c r="B14" s="106" t="s">
        <v>228</v>
      </c>
      <c r="C14" s="208" t="s">
        <v>243</v>
      </c>
      <c r="D14" s="106" t="s">
        <v>90</v>
      </c>
      <c r="E14" s="106"/>
      <c r="F14" s="212"/>
      <c r="G14" s="212">
        <f>SUM(G15)</f>
        <v>280362.72600000002</v>
      </c>
    </row>
    <row r="15" spans="1:9" ht="15">
      <c r="A15" s="205"/>
      <c r="B15" s="205"/>
      <c r="C15" s="210" t="s">
        <v>241</v>
      </c>
      <c r="D15" s="205" t="s">
        <v>236</v>
      </c>
      <c r="E15" s="205">
        <v>0.126</v>
      </c>
      <c r="F15" s="211">
        <f>+F9</f>
        <v>2225101</v>
      </c>
      <c r="G15" s="211">
        <f>+F15*E15</f>
        <v>280362.72600000002</v>
      </c>
    </row>
    <row r="16" spans="1:9" ht="14.25">
      <c r="A16" s="106">
        <v>7</v>
      </c>
      <c r="B16" s="106" t="s">
        <v>244</v>
      </c>
      <c r="C16" s="208" t="s">
        <v>245</v>
      </c>
      <c r="D16" s="106" t="s">
        <v>90</v>
      </c>
      <c r="E16" s="106"/>
      <c r="F16" s="212"/>
      <c r="G16" s="212">
        <f>SUM(G17)</f>
        <v>307793.33999999997</v>
      </c>
    </row>
    <row r="17" spans="1:9" ht="15">
      <c r="A17" s="205"/>
      <c r="B17" s="205"/>
      <c r="C17" s="210" t="s">
        <v>246</v>
      </c>
      <c r="D17" s="205" t="s">
        <v>236</v>
      </c>
      <c r="E17" s="205">
        <v>0.18</v>
      </c>
      <c r="F17" s="360">
        <v>1709963</v>
      </c>
      <c r="G17" s="211">
        <f>+F17*E17</f>
        <v>307793.33999999997</v>
      </c>
      <c r="I17">
        <v>61</v>
      </c>
    </row>
    <row r="18" spans="1:9" ht="14.25">
      <c r="A18" s="106">
        <v>8</v>
      </c>
      <c r="B18" s="106" t="s">
        <v>244</v>
      </c>
      <c r="C18" s="208" t="s">
        <v>304</v>
      </c>
      <c r="D18" s="106" t="s">
        <v>90</v>
      </c>
      <c r="E18" s="106"/>
      <c r="F18" s="212"/>
      <c r="G18" s="212">
        <f>SUM(G19)</f>
        <v>800262.68400000001</v>
      </c>
    </row>
    <row r="19" spans="1:9" ht="15">
      <c r="A19" s="205"/>
      <c r="B19" s="205"/>
      <c r="C19" s="210" t="s">
        <v>246</v>
      </c>
      <c r="D19" s="205" t="s">
        <v>236</v>
      </c>
      <c r="E19" s="205">
        <v>0.46800000000000003</v>
      </c>
      <c r="F19" s="211">
        <f>F17</f>
        <v>1709963</v>
      </c>
      <c r="G19" s="211">
        <f>+F19*E19</f>
        <v>800262.68400000001</v>
      </c>
    </row>
    <row r="20" spans="1:9" ht="14.25">
      <c r="A20" s="106">
        <v>9</v>
      </c>
      <c r="B20" s="106" t="s">
        <v>276</v>
      </c>
      <c r="C20" s="208" t="s">
        <v>305</v>
      </c>
      <c r="D20" s="106" t="s">
        <v>168</v>
      </c>
      <c r="E20" s="106"/>
      <c r="F20" s="209"/>
      <c r="G20" s="209">
        <f>SUM(G21)</f>
        <v>2607.1174999999998</v>
      </c>
    </row>
    <row r="21" spans="1:9" ht="15">
      <c r="A21" s="205"/>
      <c r="B21" s="205"/>
      <c r="C21" s="210" t="s">
        <v>306</v>
      </c>
      <c r="D21" s="205" t="s">
        <v>236</v>
      </c>
      <c r="E21" s="205">
        <v>6.5000000000000002E-2</v>
      </c>
      <c r="F21" s="213">
        <f>+F7</f>
        <v>401095</v>
      </c>
      <c r="G21" s="213">
        <f>+F21*E21/10</f>
        <v>2607.1174999999998</v>
      </c>
    </row>
    <row r="22" spans="1:9" ht="14.25">
      <c r="A22" s="106">
        <v>10</v>
      </c>
      <c r="B22" s="106" t="s">
        <v>307</v>
      </c>
      <c r="C22" s="208" t="s">
        <v>308</v>
      </c>
      <c r="D22" s="106" t="s">
        <v>168</v>
      </c>
      <c r="E22" s="106"/>
      <c r="F22" s="209"/>
      <c r="G22" s="209">
        <f>SUM(G23:G25)</f>
        <v>582253.54071999993</v>
      </c>
    </row>
    <row r="23" spans="1:9" ht="15">
      <c r="A23" s="205"/>
      <c r="B23" s="205"/>
      <c r="C23" s="210" t="s">
        <v>309</v>
      </c>
      <c r="D23" s="205" t="s">
        <v>236</v>
      </c>
      <c r="E23" s="205">
        <v>0.22</v>
      </c>
      <c r="F23" s="213">
        <f>546616*1.386</f>
        <v>757609.77599999995</v>
      </c>
      <c r="G23" s="213">
        <f>+F23*E23</f>
        <v>166674.15072000001</v>
      </c>
    </row>
    <row r="24" spans="1:9" ht="15">
      <c r="A24" s="205"/>
      <c r="B24" s="205"/>
      <c r="C24" s="210" t="s">
        <v>310</v>
      </c>
      <c r="D24" s="205" t="s">
        <v>236</v>
      </c>
      <c r="E24" s="205">
        <v>0.47</v>
      </c>
      <c r="F24" s="360">
        <v>352581</v>
      </c>
      <c r="G24" s="213">
        <f>+F24*E24</f>
        <v>165713.06999999998</v>
      </c>
      <c r="I24">
        <v>136</v>
      </c>
    </row>
    <row r="25" spans="1:9" ht="15">
      <c r="A25" s="205"/>
      <c r="B25" s="205"/>
      <c r="C25" s="210" t="s">
        <v>311</v>
      </c>
      <c r="D25" s="205" t="s">
        <v>236</v>
      </c>
      <c r="E25" s="205">
        <v>0.22</v>
      </c>
      <c r="F25" s="213">
        <v>1135756</v>
      </c>
      <c r="G25" s="213">
        <f>+F25*E25</f>
        <v>249866.32</v>
      </c>
    </row>
    <row r="26" spans="1:9" ht="14.25">
      <c r="A26" s="106">
        <v>11</v>
      </c>
      <c r="B26" s="106" t="s">
        <v>312</v>
      </c>
      <c r="C26" s="208" t="s">
        <v>313</v>
      </c>
      <c r="D26" s="106" t="s">
        <v>168</v>
      </c>
      <c r="E26" s="106"/>
      <c r="F26" s="209"/>
      <c r="G26" s="209">
        <f>SUM(G27:G29)</f>
        <v>681267.28936000005</v>
      </c>
    </row>
    <row r="27" spans="1:9" ht="15">
      <c r="A27" s="205"/>
      <c r="B27" s="205"/>
      <c r="C27" s="210" t="s">
        <v>309</v>
      </c>
      <c r="D27" s="205" t="s">
        <v>236</v>
      </c>
      <c r="E27" s="205">
        <v>0.36</v>
      </c>
      <c r="F27" s="213">
        <f>F23</f>
        <v>757609.77599999995</v>
      </c>
      <c r="G27" s="213">
        <f>+F27*E27</f>
        <v>272739.51935999998</v>
      </c>
    </row>
    <row r="28" spans="1:9" ht="15">
      <c r="A28" s="205"/>
      <c r="B28" s="205"/>
      <c r="C28" s="210" t="s">
        <v>310</v>
      </c>
      <c r="D28" s="205" t="s">
        <v>236</v>
      </c>
      <c r="E28" s="205">
        <v>0.45</v>
      </c>
      <c r="F28" s="213">
        <f>F24</f>
        <v>352581</v>
      </c>
      <c r="G28" s="213">
        <f>+F28*E28</f>
        <v>158661.45000000001</v>
      </c>
    </row>
    <row r="29" spans="1:9" ht="15">
      <c r="A29" s="205"/>
      <c r="B29" s="205"/>
      <c r="C29" s="210" t="s">
        <v>311</v>
      </c>
      <c r="D29" s="205" t="s">
        <v>236</v>
      </c>
      <c r="E29" s="205">
        <v>0.22</v>
      </c>
      <c r="F29" s="213">
        <f>F25</f>
        <v>1135756</v>
      </c>
      <c r="G29" s="213">
        <f>+F29*E29</f>
        <v>249866.32</v>
      </c>
    </row>
    <row r="30" spans="1:9" ht="14.25">
      <c r="A30" s="106">
        <v>12</v>
      </c>
      <c r="B30" s="106" t="s">
        <v>314</v>
      </c>
      <c r="C30" s="208" t="s">
        <v>315</v>
      </c>
      <c r="D30" s="106" t="s">
        <v>168</v>
      </c>
      <c r="E30" s="106"/>
      <c r="F30" s="209"/>
      <c r="G30" s="209">
        <f>SUM(G31:G33)</f>
        <v>581350.11951999995</v>
      </c>
    </row>
    <row r="31" spans="1:9" ht="15">
      <c r="A31" s="205"/>
      <c r="B31" s="205"/>
      <c r="C31" s="210" t="s">
        <v>309</v>
      </c>
      <c r="D31" s="205" t="s">
        <v>236</v>
      </c>
      <c r="E31" s="205">
        <v>0.27</v>
      </c>
      <c r="F31" s="213">
        <f>F23</f>
        <v>757609.77599999995</v>
      </c>
      <c r="G31" s="213">
        <f>+F31*E31</f>
        <v>204554.63952</v>
      </c>
    </row>
    <row r="32" spans="1:9" ht="15">
      <c r="A32" s="205"/>
      <c r="B32" s="205"/>
      <c r="C32" s="210" t="s">
        <v>310</v>
      </c>
      <c r="D32" s="205" t="s">
        <v>236</v>
      </c>
      <c r="E32" s="205">
        <v>0.36</v>
      </c>
      <c r="F32" s="213">
        <f>F24</f>
        <v>352581</v>
      </c>
      <c r="G32" s="213">
        <f>+F32*E32</f>
        <v>126929.15999999999</v>
      </c>
    </row>
    <row r="33" spans="1:7" ht="15">
      <c r="A33" s="205"/>
      <c r="B33" s="205"/>
      <c r="C33" s="210" t="s">
        <v>311</v>
      </c>
      <c r="D33" s="205" t="s">
        <v>236</v>
      </c>
      <c r="E33" s="205">
        <v>0.22</v>
      </c>
      <c r="F33" s="213">
        <f>F25</f>
        <v>1135756</v>
      </c>
      <c r="G33" s="213">
        <f>+F33*E33</f>
        <v>249866.32</v>
      </c>
    </row>
    <row r="34" spans="1:7" ht="14.25">
      <c r="A34" s="106">
        <v>13</v>
      </c>
      <c r="B34" s="106" t="s">
        <v>316</v>
      </c>
      <c r="C34" s="208" t="s">
        <v>317</v>
      </c>
      <c r="D34" s="106" t="s">
        <v>168</v>
      </c>
      <c r="E34" s="106"/>
      <c r="F34" s="209"/>
      <c r="G34" s="209">
        <f>SUM(G35:G37)</f>
        <v>496585.14520000003</v>
      </c>
    </row>
    <row r="35" spans="1:7" ht="15">
      <c r="A35" s="205"/>
      <c r="B35" s="205"/>
      <c r="C35" s="210" t="s">
        <v>309</v>
      </c>
      <c r="D35" s="205" t="s">
        <v>236</v>
      </c>
      <c r="E35" s="205">
        <v>0.2</v>
      </c>
      <c r="F35" s="213">
        <f>F23</f>
        <v>757609.77599999995</v>
      </c>
      <c r="G35" s="213">
        <f>+F35*E35</f>
        <v>151521.9552</v>
      </c>
    </row>
    <row r="36" spans="1:7" ht="15">
      <c r="A36" s="205"/>
      <c r="B36" s="205"/>
      <c r="C36" s="210" t="s">
        <v>310</v>
      </c>
      <c r="D36" s="205" t="s">
        <v>236</v>
      </c>
      <c r="E36" s="205">
        <v>0.27</v>
      </c>
      <c r="F36" s="213">
        <f>F24</f>
        <v>352581</v>
      </c>
      <c r="G36" s="213">
        <f>+F36*E36</f>
        <v>95196.87000000001</v>
      </c>
    </row>
    <row r="37" spans="1:7" ht="15">
      <c r="A37" s="205"/>
      <c r="B37" s="205"/>
      <c r="C37" s="210" t="s">
        <v>311</v>
      </c>
      <c r="D37" s="205" t="s">
        <v>236</v>
      </c>
      <c r="E37" s="205">
        <v>0.22</v>
      </c>
      <c r="F37" s="213">
        <f>F25</f>
        <v>1135756</v>
      </c>
      <c r="G37" s="213">
        <f>+F37*E37</f>
        <v>249866.32</v>
      </c>
    </row>
    <row r="38" spans="1:7" ht="14.25">
      <c r="A38" s="106">
        <v>14</v>
      </c>
      <c r="B38" s="106" t="s">
        <v>318</v>
      </c>
      <c r="C38" s="208" t="s">
        <v>319</v>
      </c>
      <c r="D38" s="106"/>
      <c r="E38" s="106"/>
      <c r="F38" s="209"/>
      <c r="G38" s="209">
        <f>SUM(G39:G39)</f>
        <v>7441.132239999999</v>
      </c>
    </row>
    <row r="39" spans="1:7" ht="15">
      <c r="A39" s="205"/>
      <c r="B39" s="205"/>
      <c r="C39" s="210" t="s">
        <v>320</v>
      </c>
      <c r="D39" s="205" t="s">
        <v>236</v>
      </c>
      <c r="E39" s="205">
        <v>0.08</v>
      </c>
      <c r="F39" s="213">
        <f>58907*1.579</f>
        <v>93014.152999999991</v>
      </c>
      <c r="G39" s="213">
        <f>+F39*E39</f>
        <v>7441.132239999999</v>
      </c>
    </row>
    <row r="40" spans="1:7" ht="14.25">
      <c r="A40" s="106">
        <v>15</v>
      </c>
      <c r="B40" s="106" t="s">
        <v>277</v>
      </c>
      <c r="C40" s="208" t="s">
        <v>321</v>
      </c>
      <c r="D40" s="106"/>
      <c r="E40" s="106"/>
      <c r="F40" s="209"/>
      <c r="G40" s="209">
        <f>SUM(G41:G42)</f>
        <v>402843.75</v>
      </c>
    </row>
    <row r="41" spans="1:7" ht="15">
      <c r="A41" s="205"/>
      <c r="B41" s="205"/>
      <c r="C41" s="210" t="s">
        <v>322</v>
      </c>
      <c r="D41" s="205" t="s">
        <v>236</v>
      </c>
      <c r="E41" s="205">
        <v>0</v>
      </c>
      <c r="F41" s="213">
        <f>F17</f>
        <v>1709963</v>
      </c>
      <c r="G41" s="213">
        <f>+F41*E41</f>
        <v>0</v>
      </c>
    </row>
    <row r="42" spans="1:7" ht="15">
      <c r="A42" s="205"/>
      <c r="B42" s="205"/>
      <c r="C42" s="210" t="s">
        <v>484</v>
      </c>
      <c r="D42" s="205" t="s">
        <v>236</v>
      </c>
      <c r="E42" s="205">
        <v>0.25</v>
      </c>
      <c r="F42" s="360">
        <v>1611375</v>
      </c>
      <c r="G42" s="213">
        <f>+F42*E42</f>
        <v>402843.75</v>
      </c>
    </row>
    <row r="43" spans="1:7" ht="14.25">
      <c r="A43" s="106">
        <v>16</v>
      </c>
      <c r="B43" s="106" t="s">
        <v>323</v>
      </c>
      <c r="C43" s="208" t="s">
        <v>324</v>
      </c>
      <c r="D43" s="106"/>
      <c r="E43" s="106"/>
      <c r="F43" s="209"/>
      <c r="G43" s="209">
        <f>SUM(G44:G44)</f>
        <v>46507.076499999996</v>
      </c>
    </row>
    <row r="44" spans="1:7" ht="15">
      <c r="A44" s="205"/>
      <c r="B44" s="205"/>
      <c r="C44" s="210" t="s">
        <v>325</v>
      </c>
      <c r="D44" s="205" t="s">
        <v>236</v>
      </c>
      <c r="E44" s="205">
        <v>0.5</v>
      </c>
      <c r="F44" s="213">
        <f>F39</f>
        <v>93014.152999999991</v>
      </c>
      <c r="G44" s="213">
        <f>+F44*E44</f>
        <v>46507.076499999996</v>
      </c>
    </row>
    <row r="45" spans="1:7" ht="14.25">
      <c r="A45" s="106">
        <v>17</v>
      </c>
      <c r="B45" s="106" t="s">
        <v>326</v>
      </c>
      <c r="C45" s="208" t="s">
        <v>327</v>
      </c>
      <c r="D45" s="106"/>
      <c r="E45" s="106"/>
      <c r="F45" s="209"/>
      <c r="G45" s="209">
        <f>SUM(G46:G46)</f>
        <v>41856.368849999999</v>
      </c>
    </row>
    <row r="46" spans="1:7" ht="15">
      <c r="A46" s="205"/>
      <c r="B46" s="205"/>
      <c r="C46" s="210" t="s">
        <v>325</v>
      </c>
      <c r="D46" s="205" t="s">
        <v>236</v>
      </c>
      <c r="E46" s="205">
        <v>0.45</v>
      </c>
      <c r="F46" s="213">
        <f>F39</f>
        <v>93014.152999999991</v>
      </c>
      <c r="G46" s="213">
        <f>+F46*E46</f>
        <v>41856.368849999999</v>
      </c>
    </row>
    <row r="47" spans="1:7" ht="14.25">
      <c r="A47" s="106">
        <v>18</v>
      </c>
      <c r="B47" s="106" t="s">
        <v>328</v>
      </c>
      <c r="C47" s="208" t="s">
        <v>329</v>
      </c>
      <c r="D47" s="106"/>
      <c r="E47" s="106"/>
      <c r="F47" s="209"/>
      <c r="G47" s="209">
        <f>SUM(G48:G48)</f>
        <v>37205.661199999995</v>
      </c>
    </row>
    <row r="48" spans="1:7" ht="15">
      <c r="A48" s="205"/>
      <c r="B48" s="205"/>
      <c r="C48" s="210" t="s">
        <v>325</v>
      </c>
      <c r="D48" s="205" t="s">
        <v>236</v>
      </c>
      <c r="E48" s="205">
        <v>0.4</v>
      </c>
      <c r="F48" s="213">
        <f>F39</f>
        <v>93014.152999999991</v>
      </c>
      <c r="G48" s="213">
        <f>+F48*E48</f>
        <v>37205.661199999995</v>
      </c>
    </row>
    <row r="49" spans="1:7" ht="14.25">
      <c r="A49" s="106">
        <v>19</v>
      </c>
      <c r="B49" s="106" t="s">
        <v>330</v>
      </c>
      <c r="C49" s="208" t="s">
        <v>331</v>
      </c>
      <c r="D49" s="106"/>
      <c r="E49" s="106"/>
      <c r="F49" s="209"/>
      <c r="G49" s="209">
        <f>SUM(G50:G50)</f>
        <v>32554.953549999995</v>
      </c>
    </row>
    <row r="50" spans="1:7" ht="15">
      <c r="A50" s="205"/>
      <c r="B50" s="205"/>
      <c r="C50" s="210" t="s">
        <v>325</v>
      </c>
      <c r="D50" s="205" t="s">
        <v>236</v>
      </c>
      <c r="E50" s="205">
        <v>0.35</v>
      </c>
      <c r="F50" s="213">
        <f>F39</f>
        <v>93014.152999999991</v>
      </c>
      <c r="G50" s="213">
        <f>+F50*E50</f>
        <v>32554.953549999995</v>
      </c>
    </row>
    <row r="51" spans="1:7" ht="14.25">
      <c r="A51" s="106">
        <v>20</v>
      </c>
      <c r="B51" s="106" t="s">
        <v>332</v>
      </c>
      <c r="C51" s="208" t="s">
        <v>333</v>
      </c>
      <c r="D51" s="106"/>
      <c r="E51" s="106"/>
      <c r="F51" s="209"/>
      <c r="G51" s="209">
        <f>SUM(G52:G52)</f>
        <v>32554.953549999995</v>
      </c>
    </row>
    <row r="52" spans="1:7" ht="15">
      <c r="A52" s="205"/>
      <c r="B52" s="205"/>
      <c r="C52" s="210" t="s">
        <v>325</v>
      </c>
      <c r="D52" s="205" t="s">
        <v>236</v>
      </c>
      <c r="E52" s="205">
        <v>0.35</v>
      </c>
      <c r="F52" s="213">
        <f>F39</f>
        <v>93014.152999999991</v>
      </c>
      <c r="G52" s="213">
        <f>+F52*E52</f>
        <v>32554.953549999995</v>
      </c>
    </row>
  </sheetData>
  <mergeCells count="1">
    <mergeCell ref="A1:G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33"/>
  </sheetPr>
  <dimension ref="A2:L45"/>
  <sheetViews>
    <sheetView workbookViewId="0">
      <selection activeCell="C7" sqref="C7"/>
    </sheetView>
  </sheetViews>
  <sheetFormatPr defaultColWidth="9.33203125" defaultRowHeight="15"/>
  <cols>
    <col min="1" max="1" width="5.33203125" style="4" customWidth="1"/>
    <col min="2" max="2" width="114.83203125" style="4" customWidth="1"/>
    <col min="3" max="3" width="26.6640625" style="4" customWidth="1"/>
    <col min="4" max="4" width="13.5" style="4" customWidth="1"/>
    <col min="5" max="5" width="7.5" style="4" customWidth="1"/>
    <col min="6" max="6" width="9.1640625" style="4" customWidth="1"/>
    <col min="7" max="7" width="13.33203125" style="4" bestFit="1" customWidth="1"/>
    <col min="8" max="10" width="9.33203125" style="4"/>
    <col min="11" max="12" width="10.83203125" style="4" customWidth="1"/>
    <col min="13" max="16384" width="9.33203125" style="4"/>
  </cols>
  <sheetData>
    <row r="2" spans="1:12" ht="18.75">
      <c r="A2" s="1067" t="s">
        <v>504</v>
      </c>
      <c r="B2" s="1067"/>
      <c r="C2" s="1067"/>
      <c r="D2" s="2"/>
      <c r="E2" s="2"/>
      <c r="F2" s="2"/>
      <c r="G2" s="2"/>
      <c r="H2" s="2"/>
      <c r="I2" s="2"/>
      <c r="J2" s="2"/>
      <c r="K2" s="2"/>
      <c r="L2" s="2"/>
    </row>
    <row r="3" spans="1:12" ht="29.25" customHeight="1">
      <c r="A3" s="985" t="s">
        <v>1031</v>
      </c>
      <c r="B3" s="985"/>
      <c r="C3" s="985"/>
      <c r="D3" s="126"/>
      <c r="E3" s="1"/>
      <c r="F3" s="1"/>
      <c r="G3" s="1"/>
      <c r="H3" s="1"/>
      <c r="I3" s="1"/>
      <c r="J3" s="1"/>
      <c r="K3" s="1"/>
      <c r="L3" s="1"/>
    </row>
    <row r="4" spans="1:12" s="21" customFormat="1" ht="16.5">
      <c r="A4" s="1068" t="s">
        <v>680</v>
      </c>
      <c r="B4" s="1069"/>
      <c r="C4" s="392">
        <f>C5+C26</f>
        <v>25853492</v>
      </c>
      <c r="D4" s="312"/>
      <c r="E4" s="362"/>
      <c r="F4" s="362"/>
      <c r="G4" s="363"/>
      <c r="H4" s="363"/>
      <c r="I4" s="363"/>
    </row>
    <row r="5" spans="1:12" ht="16.5">
      <c r="A5" s="1070" t="s">
        <v>681</v>
      </c>
      <c r="B5" s="1071"/>
      <c r="C5" s="393">
        <f>SUM(C6:C25)</f>
        <v>25853492</v>
      </c>
      <c r="D5" s="394"/>
      <c r="E5" s="1"/>
      <c r="F5" s="1"/>
      <c r="G5" s="5"/>
      <c r="H5" s="5"/>
      <c r="I5" s="5"/>
    </row>
    <row r="6" spans="1:12" s="358" customFormat="1" ht="15.75">
      <c r="A6" s="364">
        <v>1</v>
      </c>
      <c r="B6" s="365" t="str">
        <f>"Vận chuyển trụ, lốc bê tông Bình Thuận đến công trình ("&amp;F9&amp;" trụ 14m,"&amp;F10&amp;" trụ 12m, "&amp;F12&amp;" trụ 8,5m, đường cấp 2)"</f>
        <v>Vận chuyển trụ, lốc bê tông Bình Thuận đến công trình (4 trụ 14m,22 trụ 12m, 9 trụ 8,5m, đường cấp 2)</v>
      </c>
      <c r="C6" s="366"/>
      <c r="D6" s="395"/>
      <c r="E6" s="367"/>
      <c r="F6" s="367"/>
      <c r="G6" s="359" t="s">
        <v>644</v>
      </c>
      <c r="H6" s="359"/>
      <c r="I6" s="359"/>
    </row>
    <row r="7" spans="1:12" s="127" customFormat="1" ht="15.75">
      <c r="A7" s="382"/>
      <c r="B7" s="383" t="s">
        <v>1551</v>
      </c>
      <c r="C7" s="714">
        <f>ROUND((12*200*1398*1.3*1.2*G7)/1.1,0)</f>
        <v>14274851</v>
      </c>
      <c r="D7" s="128"/>
      <c r="E7" s="385">
        <f>F7/10</f>
        <v>2.9899999999999998</v>
      </c>
      <c r="F7" s="385">
        <f>SUM(H10:H18)</f>
        <v>29.9</v>
      </c>
      <c r="G7" s="386">
        <f>+ROUND(E7,0)</f>
        <v>3</v>
      </c>
      <c r="H7" s="386"/>
      <c r="I7" s="386"/>
    </row>
    <row r="8" spans="1:12" s="127" customFormat="1" ht="15.75">
      <c r="A8" s="382">
        <v>2</v>
      </c>
      <c r="B8" s="383" t="s">
        <v>643</v>
      </c>
      <c r="C8" s="387"/>
      <c r="D8" s="128"/>
      <c r="E8" s="388"/>
      <c r="F8" s="388" t="s">
        <v>90</v>
      </c>
      <c r="G8" s="388" t="s">
        <v>645</v>
      </c>
      <c r="H8" s="388" t="s">
        <v>646</v>
      </c>
      <c r="I8" s="386"/>
    </row>
    <row r="9" spans="1:12" s="127" customFormat="1" ht="15.75">
      <c r="A9" s="382"/>
      <c r="B9" s="383" t="str">
        <f>"  Nhân công bốc dỡ = ("&amp;F9&amp;" trụ x 1,398tấn/trụ 14m) x 0,25công/tấn x 298.431đ/công x 2lần   ="</f>
        <v xml:space="preserve">  Nhân công bốc dỡ = (4 trụ x 1,398tấn/trụ 14m) x 0,25công/tấn x 298.431đ/công x 2lần   =</v>
      </c>
      <c r="C9" s="497">
        <f>ROUND((F9*G9)*0.25*D9*2,0)</f>
        <v>834413</v>
      </c>
      <c r="D9" s="495">
        <v>298431</v>
      </c>
      <c r="E9" s="389" t="s">
        <v>288</v>
      </c>
      <c r="F9" s="389">
        <f>+'TK TA'!K146</f>
        <v>4</v>
      </c>
      <c r="G9" s="389">
        <v>1.3979999999999999</v>
      </c>
      <c r="H9" s="389">
        <f>F9*G9</f>
        <v>5.5919999999999996</v>
      </c>
      <c r="I9" s="386"/>
    </row>
    <row r="10" spans="1:12" s="127" customFormat="1" ht="15.75">
      <c r="A10" s="382"/>
      <c r="B10" s="383" t="str">
        <f>"  Nhân công bốc dỡ = ("&amp;F10&amp;" trụ x 1,13tấn/trụ 12m) x 0,25công/tấn x 298.431đ/công x 2lần   ="</f>
        <v xml:space="preserve">  Nhân công bốc dỡ = (22 trụ x 1,13tấn/trụ 12m) x 0,25công/tấn x 298.431đ/công x 2lần   =</v>
      </c>
      <c r="C10" s="497">
        <f t="shared" ref="C10:C13" si="0">ROUND((F10*G10)*0.25*D10*2,0)</f>
        <v>3709497</v>
      </c>
      <c r="D10" s="495">
        <v>298431</v>
      </c>
      <c r="E10" s="389" t="s">
        <v>289</v>
      </c>
      <c r="F10" s="389">
        <f>+'TK TA'!L146</f>
        <v>22</v>
      </c>
      <c r="G10" s="389">
        <v>1.1299999999999999</v>
      </c>
      <c r="H10" s="389">
        <f>F10*G10</f>
        <v>24.86</v>
      </c>
      <c r="I10" s="386"/>
    </row>
    <row r="11" spans="1:12" s="127" customFormat="1" ht="15.75" hidden="1">
      <c r="A11" s="382"/>
      <c r="B11" s="383" t="s">
        <v>682</v>
      </c>
      <c r="C11" s="497">
        <f t="shared" si="0"/>
        <v>0</v>
      </c>
      <c r="D11" s="495">
        <v>298431</v>
      </c>
      <c r="E11" s="390" t="s">
        <v>290</v>
      </c>
      <c r="F11" s="389">
        <v>0</v>
      </c>
      <c r="G11" s="390">
        <v>0.93899999999999995</v>
      </c>
      <c r="H11" s="390">
        <f>F11*G11</f>
        <v>0</v>
      </c>
      <c r="I11" s="386"/>
    </row>
    <row r="12" spans="1:12" s="127" customFormat="1" ht="15.75">
      <c r="A12" s="382"/>
      <c r="B12" s="383" t="str">
        <f>"  Nhân công bốc dỡ = ("&amp;F12&amp;" trụ x 0,56tấn/trụ) x 0,25công/tấn x 298.431đ/công x 2lần  ="</f>
        <v xml:space="preserve">  Nhân công bốc dỡ = (9 trụ x 0,56tấn/trụ) x 0,25công/tấn x 298.431đ/công x 2lần  =</v>
      </c>
      <c r="C12" s="497">
        <f t="shared" si="0"/>
        <v>752046</v>
      </c>
      <c r="D12" s="495">
        <v>298431</v>
      </c>
      <c r="E12" s="390" t="s">
        <v>334</v>
      </c>
      <c r="F12" s="391">
        <f>+'TK HA AP'!C70</f>
        <v>9</v>
      </c>
      <c r="G12" s="390">
        <v>0.56000000000000005</v>
      </c>
      <c r="H12" s="390">
        <f>F12*G12</f>
        <v>5.0400000000000009</v>
      </c>
      <c r="I12" s="386"/>
    </row>
    <row r="13" spans="1:12" s="127" customFormat="1" ht="15.75" hidden="1">
      <c r="A13" s="382"/>
      <c r="B13" s="383" t="s">
        <v>683</v>
      </c>
      <c r="C13" s="384">
        <f t="shared" si="0"/>
        <v>0</v>
      </c>
      <c r="D13" s="495"/>
      <c r="E13" s="390" t="s">
        <v>684</v>
      </c>
      <c r="F13" s="389">
        <v>0</v>
      </c>
      <c r="G13" s="390">
        <v>0.49</v>
      </c>
      <c r="H13" s="390">
        <f>F13*G13</f>
        <v>0</v>
      </c>
      <c r="I13" s="386"/>
    </row>
    <row r="14" spans="1:12" s="127" customFormat="1" ht="15.75">
      <c r="A14" s="382"/>
      <c r="B14" s="383" t="str">
        <f>"   Cẩu 5 tấn bốc dỡ = "&amp;F9&amp;" trụ (14m) x 0,04ca/tấn x1.709.963/ca x 2lần  ="</f>
        <v xml:space="preserve">   Cẩu 5 tấn bốc dỡ = 4 trụ (14m) x 0,04ca/tấn x1.709.963/ca x 2lần  =</v>
      </c>
      <c r="C14" s="497">
        <f>ROUND(((F9*G9)*0.04*D14*2),0)</f>
        <v>764969</v>
      </c>
      <c r="D14" s="495">
        <v>1709963</v>
      </c>
      <c r="I14" s="386"/>
    </row>
    <row r="15" spans="1:12" s="127" customFormat="1" ht="15.75">
      <c r="A15" s="382"/>
      <c r="B15" s="383" t="str">
        <f>"   Cẩu 5 tấn bốc dỡ = "&amp;F10&amp;" trụ (12m) x 0,04ca/tấn x1.709.963đ/ca x 2lần  ="</f>
        <v xml:space="preserve">   Cẩu 5 tấn bốc dỡ = 22 trụ (12m) x 0,04ca/tấn x1.709.963đ/ca x 2lần  =</v>
      </c>
      <c r="C15" s="497">
        <f>ROUND(((F10*G10)*0.04*D15*2),0)</f>
        <v>3400774</v>
      </c>
      <c r="D15" s="495">
        <v>1709963</v>
      </c>
      <c r="E15" s="385"/>
      <c r="F15" s="385"/>
      <c r="G15" s="386"/>
      <c r="H15" s="386"/>
      <c r="I15" s="386"/>
    </row>
    <row r="16" spans="1:12" s="358" customFormat="1" ht="15.75">
      <c r="A16" s="368"/>
      <c r="B16" s="370" t="str">
        <f>"   Cẩu 5 tấn bốc dỡ = "&amp;F12&amp;" trụ (8,5m) x 0,04ca/tấn x1.709.963đ/ca x 2lần  ="</f>
        <v xml:space="preserve">   Cẩu 5 tấn bốc dỡ = 9 trụ (8,5m) x 0,04ca/tấn x1.709.963đ/ca x 2lần  =</v>
      </c>
      <c r="C16" s="497">
        <f>ROUND(((F12*G12)*0.04*D16*2),0)</f>
        <v>689457</v>
      </c>
      <c r="D16" s="496">
        <v>1709963</v>
      </c>
      <c r="I16" s="359"/>
    </row>
    <row r="17" spans="1:9" s="358" customFormat="1" ht="15.75" hidden="1">
      <c r="A17" s="368"/>
      <c r="B17" s="370" t="str">
        <f>"   Cẩu 5 tấn bốc dỡ = "&amp;F13&amp;" trụ (7,5m) x 0,04ca/tấn x1.523.519đ/ca x 2lần  ="</f>
        <v xml:space="preserve">   Cẩu 5 tấn bốc dỡ = 0 trụ (7,5m) x 0,04ca/tấn x1.523.519đ/ca x 2lần  =</v>
      </c>
      <c r="C17" s="369">
        <f>ROUND(((F13*0.56)*0.04*1523519*2),0)</f>
        <v>0</v>
      </c>
      <c r="D17" s="395"/>
      <c r="I17" s="359"/>
    </row>
    <row r="18" spans="1:9" s="358" customFormat="1" ht="15.75" hidden="1">
      <c r="A18" s="368">
        <v>1</v>
      </c>
      <c r="B18" s="370" t="s">
        <v>685</v>
      </c>
      <c r="C18" s="371"/>
      <c r="D18" s="395"/>
      <c r="E18" s="161" t="s">
        <v>686</v>
      </c>
      <c r="F18" s="161">
        <v>0</v>
      </c>
      <c r="G18" s="161">
        <v>0.1</v>
      </c>
      <c r="H18" s="161">
        <f>F18*G18</f>
        <v>0</v>
      </c>
      <c r="I18" s="359"/>
    </row>
    <row r="19" spans="1:9" s="358" customFormat="1" ht="15.75" hidden="1">
      <c r="A19" s="368"/>
      <c r="B19" s="370" t="str">
        <f>"              Nhân công bốc dỡ (bậc thợ 3/7) = "&amp;F18&amp;" cái x 0,1tấn/cái x 0,2công/tấn x 248.692đ/công x 2lần  ="</f>
        <v xml:space="preserve">              Nhân công bốc dỡ (bậc thợ 3/7) = 0 cái x 0,1tấn/cái x 0,2công/tấn x 248.692đ/công x 2lần  =</v>
      </c>
      <c r="C19" s="369">
        <f>ROUND((F18*0.1*0.2*248692*2),0)</f>
        <v>0</v>
      </c>
      <c r="D19" s="395"/>
      <c r="E19" s="367"/>
      <c r="F19" s="367"/>
      <c r="G19" s="359"/>
      <c r="H19" s="359">
        <f>SUM(H10:H18)</f>
        <v>29.9</v>
      </c>
      <c r="I19" s="359"/>
    </row>
    <row r="20" spans="1:9" s="358" customFormat="1" ht="15.75" hidden="1">
      <c r="A20" s="368"/>
      <c r="B20" s="370" t="str">
        <f>"              Cẩu 5 tấn bốc dỡ = "&amp;F18&amp;" cái x 0,1tấn/cái x 0,03ca/tấn x 1.505.213đ/ca x 2lần  ="</f>
        <v xml:space="preserve">              Cẩu 5 tấn bốc dỡ = 0 cái x 0,1tấn/cái x 0,03ca/tấn x 1.505.213đ/ca x 2lần  =</v>
      </c>
      <c r="C20" s="372">
        <f>ROUND((F18*0.1*0.03*D20*2),0)</f>
        <v>0</v>
      </c>
      <c r="D20" s="396">
        <v>1640030</v>
      </c>
      <c r="E20" s="367"/>
      <c r="F20" s="367"/>
      <c r="G20" s="359"/>
      <c r="H20" s="359">
        <f>+H19/12</f>
        <v>2.4916666666666667</v>
      </c>
      <c r="I20" s="359"/>
    </row>
    <row r="21" spans="1:9" s="358" customFormat="1" ht="15.75" hidden="1">
      <c r="A21" s="373">
        <v>3</v>
      </c>
      <c r="B21" s="374" t="s">
        <v>687</v>
      </c>
      <c r="C21" s="371"/>
      <c r="D21" s="395"/>
      <c r="E21" s="367"/>
      <c r="F21" s="367"/>
      <c r="G21" s="359"/>
      <c r="H21" s="359"/>
      <c r="I21" s="359"/>
    </row>
    <row r="22" spans="1:9" s="358" customFormat="1" ht="15.75" hidden="1">
      <c r="A22" s="373"/>
      <c r="B22" s="374" t="s">
        <v>688</v>
      </c>
      <c r="C22" s="369"/>
      <c r="D22" s="395"/>
      <c r="E22" s="367"/>
      <c r="F22" s="367"/>
      <c r="G22" s="359"/>
      <c r="H22" s="359"/>
      <c r="I22" s="359"/>
    </row>
    <row r="23" spans="1:9" s="358" customFormat="1" ht="15.75" hidden="1">
      <c r="A23" s="373"/>
      <c r="B23" s="374" t="s">
        <v>689</v>
      </c>
      <c r="C23" s="369"/>
      <c r="D23" s="395"/>
      <c r="E23" s="367"/>
      <c r="F23" s="367"/>
      <c r="G23" s="359"/>
      <c r="H23" s="359"/>
      <c r="I23" s="359"/>
    </row>
    <row r="24" spans="1:9" s="358" customFormat="1" ht="15.75">
      <c r="A24" s="368">
        <v>3</v>
      </c>
      <c r="B24" s="370" t="s">
        <v>248</v>
      </c>
      <c r="C24" s="369"/>
      <c r="D24" s="395"/>
      <c r="E24" s="367"/>
      <c r="F24" s="367"/>
      <c r="G24" s="359"/>
      <c r="H24" s="359"/>
      <c r="I24" s="359"/>
    </row>
    <row r="25" spans="1:9" s="358" customFormat="1" ht="15.75">
      <c r="A25" s="375"/>
      <c r="B25" s="376" t="s">
        <v>700</v>
      </c>
      <c r="C25" s="377">
        <f>ROUND((2*400*1398*1.3*1.2*0.9*1)/1.1,0)</f>
        <v>1427485</v>
      </c>
      <c r="D25" s="395"/>
      <c r="E25" s="367"/>
      <c r="F25" s="367"/>
      <c r="G25" s="359"/>
      <c r="H25" s="359"/>
      <c r="I25" s="359"/>
    </row>
    <row r="26" spans="1:9" ht="16.5" hidden="1">
      <c r="A26" s="1068" t="s">
        <v>690</v>
      </c>
      <c r="B26" s="1072"/>
      <c r="C26" s="393">
        <f>SUM(C27:C31)</f>
        <v>0</v>
      </c>
      <c r="D26" s="394"/>
      <c r="E26" s="1"/>
      <c r="F26" s="1"/>
      <c r="G26" s="5"/>
      <c r="H26" s="5"/>
      <c r="I26" s="5"/>
    </row>
    <row r="27" spans="1:9" ht="15.75" hidden="1">
      <c r="A27" s="397">
        <v>1</v>
      </c>
      <c r="B27" s="398" t="s">
        <v>701</v>
      </c>
      <c r="C27" s="399"/>
      <c r="D27" s="400"/>
      <c r="E27" s="1"/>
      <c r="F27" s="1"/>
      <c r="G27" s="5"/>
      <c r="H27" s="5"/>
      <c r="I27" s="5"/>
    </row>
    <row r="28" spans="1:9" ht="15.75" hidden="1">
      <c r="A28" s="397"/>
      <c r="B28" s="401" t="s">
        <v>691</v>
      </c>
      <c r="C28" s="378"/>
      <c r="D28" s="402"/>
      <c r="E28" s="402"/>
      <c r="F28" s="402"/>
      <c r="G28" s="5"/>
      <c r="H28" s="5"/>
      <c r="I28" s="5"/>
    </row>
    <row r="29" spans="1:9" ht="16.5" hidden="1">
      <c r="A29" s="397">
        <v>2</v>
      </c>
      <c r="B29" s="403" t="s">
        <v>692</v>
      </c>
      <c r="C29" s="404"/>
      <c r="D29" s="400"/>
      <c r="E29" s="1"/>
      <c r="F29" s="1"/>
      <c r="G29" s="5"/>
      <c r="H29" s="5"/>
      <c r="I29" s="5"/>
    </row>
    <row r="30" spans="1:9" ht="16.5" hidden="1">
      <c r="A30" s="397">
        <v>3</v>
      </c>
      <c r="B30" s="405" t="s">
        <v>693</v>
      </c>
      <c r="C30" s="404"/>
      <c r="D30" s="400"/>
      <c r="E30" s="1"/>
      <c r="F30" s="1"/>
      <c r="G30" s="5"/>
      <c r="H30" s="5"/>
      <c r="I30" s="5"/>
    </row>
    <row r="31" spans="1:9" ht="16.5" hidden="1">
      <c r="A31" s="406">
        <v>4</v>
      </c>
      <c r="B31" s="407" t="s">
        <v>694</v>
      </c>
      <c r="C31" s="408"/>
      <c r="D31" s="400"/>
      <c r="E31" s="8"/>
      <c r="F31" s="8"/>
      <c r="G31" s="5"/>
      <c r="H31" s="5"/>
      <c r="I31" s="5"/>
    </row>
    <row r="32" spans="1:9" ht="15.75">
      <c r="A32" s="1"/>
      <c r="B32" s="1"/>
      <c r="C32" s="1"/>
      <c r="D32" s="1"/>
      <c r="E32" s="1"/>
      <c r="F32" s="1"/>
      <c r="G32" s="5"/>
      <c r="H32" s="5"/>
      <c r="I32" s="5"/>
    </row>
    <row r="33" spans="2:12" s="409" customFormat="1">
      <c r="C33" s="410"/>
      <c r="E33" s="161"/>
      <c r="F33" s="161"/>
      <c r="G33" s="161"/>
      <c r="H33" s="161"/>
    </row>
    <row r="34" spans="2:12" s="409" customFormat="1">
      <c r="C34" s="410"/>
      <c r="E34" s="161"/>
      <c r="F34" s="161"/>
      <c r="G34" s="161"/>
      <c r="H34" s="161"/>
    </row>
    <row r="35" spans="2:12" s="409" customFormat="1">
      <c r="C35" s="410"/>
      <c r="I35" s="409">
        <f>+H35/12</f>
        <v>0</v>
      </c>
    </row>
    <row r="36" spans="2:12" ht="31.5" customHeight="1">
      <c r="B36" s="1066"/>
      <c r="C36" s="1066"/>
      <c r="D36" s="1066"/>
      <c r="E36" s="1066"/>
      <c r="F36" s="1066"/>
      <c r="G36" s="1066"/>
      <c r="H36" s="1066"/>
      <c r="I36" s="1066"/>
      <c r="J36" s="1066"/>
      <c r="K36" s="1066"/>
      <c r="L36" s="1066"/>
    </row>
    <row r="37" spans="2:12" ht="5.25" customHeight="1">
      <c r="B37" s="5"/>
      <c r="C37" s="5"/>
      <c r="D37" s="1"/>
      <c r="E37" s="1"/>
      <c r="F37" s="1"/>
      <c r="G37" s="5"/>
      <c r="H37" s="5"/>
      <c r="I37" s="5"/>
    </row>
    <row r="38" spans="2:12" ht="15.75">
      <c r="B38" s="5"/>
      <c r="C38" s="6"/>
      <c r="D38" s="1"/>
      <c r="E38" s="1"/>
      <c r="F38" s="1"/>
      <c r="G38" s="5"/>
      <c r="H38" s="5"/>
      <c r="I38" s="5"/>
    </row>
    <row r="39" spans="2:12" ht="15.75">
      <c r="B39" s="6"/>
      <c r="C39" s="6"/>
      <c r="D39" s="6"/>
      <c r="E39" s="1"/>
      <c r="F39" s="1"/>
      <c r="G39" s="5"/>
      <c r="H39" s="5"/>
      <c r="I39" s="5"/>
    </row>
    <row r="40" spans="2:12" ht="15.75">
      <c r="B40" s="1"/>
      <c r="C40" s="6"/>
      <c r="D40" s="6"/>
      <c r="E40" s="8"/>
      <c r="F40" s="8"/>
      <c r="G40" s="5"/>
      <c r="H40" s="5"/>
      <c r="I40" s="5"/>
    </row>
    <row r="41" spans="2:12" ht="15.75">
      <c r="B41" s="1"/>
      <c r="C41" s="6"/>
      <c r="D41" s="6"/>
      <c r="E41" s="8"/>
      <c r="F41" s="8"/>
      <c r="G41" s="5"/>
      <c r="H41" s="5"/>
      <c r="I41" s="5"/>
    </row>
    <row r="42" spans="2:12" ht="15.75">
      <c r="B42" s="1"/>
      <c r="C42" s="7"/>
      <c r="D42" s="7"/>
      <c r="E42" s="1"/>
      <c r="F42" s="1"/>
      <c r="G42" s="5"/>
      <c r="H42" s="5"/>
      <c r="I42" s="5"/>
    </row>
    <row r="43" spans="2:12" ht="15.75">
      <c r="B43" s="1"/>
      <c r="C43" s="7"/>
      <c r="D43" s="6"/>
      <c r="E43" s="1"/>
      <c r="F43" s="1"/>
      <c r="G43" s="5"/>
      <c r="H43" s="5"/>
      <c r="I43" s="5"/>
    </row>
    <row r="44" spans="2:12" ht="15.75">
      <c r="B44" s="1"/>
      <c r="C44" s="7"/>
      <c r="D44" s="6"/>
      <c r="E44" s="1"/>
      <c r="F44" s="1"/>
      <c r="G44" s="5"/>
      <c r="H44" s="5"/>
      <c r="I44" s="5"/>
    </row>
    <row r="45" spans="2:12" ht="15.75">
      <c r="B45" s="1"/>
      <c r="C45" s="7"/>
      <c r="D45" s="6"/>
      <c r="E45" s="1"/>
      <c r="F45" s="1"/>
      <c r="G45" s="5"/>
      <c r="H45" s="5"/>
      <c r="I45" s="5"/>
    </row>
  </sheetData>
  <mergeCells count="6">
    <mergeCell ref="B36:L36"/>
    <mergeCell ref="A2:C2"/>
    <mergeCell ref="A3:C3"/>
    <mergeCell ref="A4:B4"/>
    <mergeCell ref="A5:B5"/>
    <mergeCell ref="A26:B26"/>
  </mergeCells>
  <phoneticPr fontId="0" type="noConversion"/>
  <printOptions horizontalCentered="1"/>
  <pageMargins left="0.74803149606299202" right="0.35433070866141703" top="0.59055118110236204" bottom="0.70866141732283505" header="0.31496062992126" footer="0.31496062992126"/>
  <pageSetup paperSize="9" firstPageNumber="10" orientation="landscape" useFirstPageNumber="1"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50"/>
  </sheetPr>
  <dimension ref="A1:P129"/>
  <sheetViews>
    <sheetView zoomScaleNormal="100" workbookViewId="0">
      <pane xSplit="2" ySplit="6" topLeftCell="C102" activePane="bottomRight" state="frozen"/>
      <selection pane="topRight" activeCell="C1" sqref="C1"/>
      <selection pane="bottomLeft" activeCell="A7" sqref="A7"/>
      <selection pane="bottomRight" activeCell="D125" sqref="D125"/>
    </sheetView>
  </sheetViews>
  <sheetFormatPr defaultColWidth="9.33203125" defaultRowHeight="15"/>
  <cols>
    <col min="1" max="1" width="6.6640625" style="32" customWidth="1"/>
    <col min="2" max="2" width="20" style="32" customWidth="1"/>
    <col min="3" max="3" width="16.6640625" style="847" customWidth="1"/>
    <col min="4" max="4" width="48.33203125" style="32" customWidth="1"/>
    <col min="5" max="5" width="31.1640625" style="847" customWidth="1"/>
    <col min="6" max="6" width="14" style="884" customWidth="1"/>
    <col min="7" max="7" width="9.1640625" style="884" customWidth="1"/>
    <col min="8" max="8" width="14.1640625" style="32" customWidth="1"/>
    <col min="9" max="9" width="21.1640625" style="32" customWidth="1"/>
    <col min="10" max="12" width="14.1640625" style="32" customWidth="1"/>
    <col min="13" max="13" width="21.83203125" style="32" customWidth="1"/>
    <col min="14" max="14" width="17.5" style="32" customWidth="1"/>
    <col min="15" max="15" width="14.1640625" style="32" customWidth="1"/>
    <col min="16" max="16" width="14.83203125" style="32" bestFit="1" customWidth="1"/>
    <col min="17" max="16384" width="9.33203125" style="32"/>
  </cols>
  <sheetData>
    <row r="1" spans="2:15" ht="10.5" customHeight="1"/>
    <row r="2" spans="2:15" ht="21.6" customHeight="1">
      <c r="B2" s="877" t="s">
        <v>503</v>
      </c>
      <c r="C2" s="877"/>
      <c r="D2" s="877"/>
      <c r="E2" s="877"/>
      <c r="F2" s="739"/>
      <c r="G2" s="739"/>
      <c r="H2" s="877"/>
      <c r="I2" s="877"/>
      <c r="J2" s="877"/>
      <c r="K2" s="877"/>
      <c r="L2" s="877"/>
      <c r="M2" s="877"/>
      <c r="N2" s="877"/>
      <c r="O2" s="877"/>
    </row>
    <row r="3" spans="2:15" ht="16.899999999999999" customHeight="1">
      <c r="B3" s="878" t="s">
        <v>1031</v>
      </c>
      <c r="C3" s="878"/>
      <c r="D3" s="66"/>
      <c r="E3" s="66"/>
      <c r="F3" s="740"/>
      <c r="G3" s="740"/>
      <c r="H3" s="66"/>
      <c r="I3" s="66"/>
      <c r="J3" s="66"/>
      <c r="K3" s="66"/>
      <c r="L3" s="66"/>
      <c r="M3" s="66"/>
      <c r="N3" s="66"/>
      <c r="O3" s="66"/>
    </row>
    <row r="4" spans="2:15" ht="1.9" customHeight="1">
      <c r="B4" s="879"/>
      <c r="C4" s="879"/>
      <c r="D4" s="879"/>
      <c r="E4" s="879"/>
      <c r="F4" s="741"/>
      <c r="G4" s="741"/>
      <c r="H4" s="879"/>
      <c r="I4" s="879"/>
      <c r="J4" s="879"/>
      <c r="K4" s="879"/>
      <c r="L4" s="879"/>
      <c r="M4" s="879"/>
      <c r="N4" s="879"/>
      <c r="O4" s="879"/>
    </row>
    <row r="5" spans="2:15" ht="19.899999999999999" customHeight="1">
      <c r="B5" s="197" t="s">
        <v>22</v>
      </c>
      <c r="C5" s="848"/>
      <c r="D5" s="197" t="s">
        <v>53</v>
      </c>
      <c r="E5" s="848"/>
      <c r="F5" s="353" t="s">
        <v>52</v>
      </c>
      <c r="G5" s="353" t="s">
        <v>47</v>
      </c>
      <c r="H5" s="866" t="s">
        <v>48</v>
      </c>
      <c r="I5" s="866"/>
      <c r="J5" s="866"/>
      <c r="K5" s="866"/>
      <c r="L5" s="866" t="s">
        <v>49</v>
      </c>
      <c r="M5" s="866"/>
      <c r="N5" s="866"/>
      <c r="O5" s="866"/>
    </row>
    <row r="6" spans="2:15" ht="46.15" customHeight="1">
      <c r="B6" s="197"/>
      <c r="C6" s="848"/>
      <c r="D6" s="197"/>
      <c r="E6" s="848"/>
      <c r="F6" s="353"/>
      <c r="G6" s="353"/>
      <c r="H6" s="195" t="s">
        <v>160</v>
      </c>
      <c r="I6" s="195" t="s">
        <v>161</v>
      </c>
      <c r="J6" s="195" t="s">
        <v>85</v>
      </c>
      <c r="K6" s="195" t="s">
        <v>33</v>
      </c>
      <c r="L6" s="195" t="s">
        <v>160</v>
      </c>
      <c r="M6" s="195" t="s">
        <v>161</v>
      </c>
      <c r="N6" s="195" t="s">
        <v>50</v>
      </c>
      <c r="O6" s="195" t="s">
        <v>33</v>
      </c>
    </row>
    <row r="7" spans="2:15" ht="15.6" customHeight="1">
      <c r="B7" s="196" t="s">
        <v>54</v>
      </c>
      <c r="C7" s="809"/>
      <c r="D7" s="196" t="s">
        <v>55</v>
      </c>
      <c r="E7" s="809"/>
      <c r="F7" s="196" t="s">
        <v>57</v>
      </c>
      <c r="G7" s="196" t="s">
        <v>56</v>
      </c>
      <c r="H7" s="196" t="s">
        <v>58</v>
      </c>
      <c r="I7" s="196" t="s">
        <v>59</v>
      </c>
      <c r="J7" s="196" t="s">
        <v>60</v>
      </c>
      <c r="K7" s="196" t="s">
        <v>61</v>
      </c>
      <c r="L7" s="196" t="s">
        <v>62</v>
      </c>
      <c r="M7" s="196" t="s">
        <v>63</v>
      </c>
      <c r="N7" s="196" t="s">
        <v>64</v>
      </c>
      <c r="O7" s="196" t="s">
        <v>65</v>
      </c>
    </row>
    <row r="8" spans="2:15" ht="19.899999999999999" customHeight="1">
      <c r="B8" s="208" t="s">
        <v>98</v>
      </c>
      <c r="C8" s="849"/>
      <c r="D8" s="197"/>
      <c r="E8" s="857"/>
      <c r="F8" s="106"/>
      <c r="G8" s="106"/>
      <c r="H8" s="208"/>
      <c r="I8" s="208"/>
      <c r="J8" s="208"/>
      <c r="K8" s="208"/>
      <c r="L8" s="208"/>
      <c r="M8" s="208"/>
      <c r="N8" s="208"/>
      <c r="O8" s="208"/>
    </row>
    <row r="9" spans="2:15" ht="19.899999999999999" customHeight="1">
      <c r="B9" s="208" t="s">
        <v>73</v>
      </c>
      <c r="C9" s="849"/>
      <c r="D9" s="197"/>
      <c r="E9" s="857"/>
      <c r="F9" s="106"/>
      <c r="G9" s="106"/>
      <c r="H9" s="208"/>
      <c r="I9" s="208"/>
      <c r="J9" s="208"/>
      <c r="K9" s="208"/>
      <c r="L9" s="208"/>
      <c r="M9" s="208"/>
      <c r="N9" s="208"/>
      <c r="O9" s="208"/>
    </row>
    <row r="10" spans="2:15" ht="19.899999999999999" customHeight="1">
      <c r="B10" s="106" t="s">
        <v>40</v>
      </c>
      <c r="C10" s="850"/>
      <c r="D10" s="197" t="s">
        <v>675</v>
      </c>
      <c r="E10" s="857" t="s">
        <v>1603</v>
      </c>
      <c r="F10" s="199"/>
      <c r="G10" s="198"/>
      <c r="H10" s="200"/>
      <c r="I10" s="200"/>
      <c r="J10" s="200"/>
      <c r="K10" s="200"/>
      <c r="L10" s="357"/>
      <c r="M10" s="357"/>
      <c r="N10" s="357"/>
      <c r="O10" s="343"/>
    </row>
    <row r="11" spans="2:15" ht="19.899999999999999" customHeight="1">
      <c r="B11" s="205">
        <v>1</v>
      </c>
      <c r="C11" s="758"/>
      <c r="D11" s="204" t="s">
        <v>584</v>
      </c>
      <c r="E11" s="801"/>
      <c r="F11" s="199">
        <v>22</v>
      </c>
      <c r="G11" s="198" t="s">
        <v>591</v>
      </c>
      <c r="H11" s="355">
        <v>961939.35009599989</v>
      </c>
      <c r="I11" s="355">
        <v>0</v>
      </c>
      <c r="J11" s="355">
        <v>577250.97405000008</v>
      </c>
      <c r="K11" s="355">
        <v>53782.864476999996</v>
      </c>
      <c r="L11" s="202">
        <v>21162665.702111997</v>
      </c>
      <c r="M11" s="202">
        <f t="shared" ref="M11" si="0">I11*F11</f>
        <v>0</v>
      </c>
      <c r="N11" s="202">
        <f t="shared" ref="N11" si="1">J11*F11</f>
        <v>12699521.429100001</v>
      </c>
      <c r="O11" s="202">
        <f t="shared" ref="O11" si="2">F11*K11</f>
        <v>1183223.018494</v>
      </c>
    </row>
    <row r="12" spans="2:15" ht="19.899999999999999" customHeight="1">
      <c r="B12" s="205">
        <v>2</v>
      </c>
      <c r="C12" s="758"/>
      <c r="D12" s="204" t="s">
        <v>816</v>
      </c>
      <c r="E12" s="801"/>
      <c r="F12" s="199">
        <v>4</v>
      </c>
      <c r="G12" s="198" t="s">
        <v>591</v>
      </c>
      <c r="H12" s="355">
        <v>1478643.0029239999</v>
      </c>
      <c r="I12" s="355">
        <v>0</v>
      </c>
      <c r="J12" s="355">
        <v>873344.76585000008</v>
      </c>
      <c r="K12" s="355">
        <v>85070.303113000002</v>
      </c>
      <c r="L12" s="202">
        <v>5914572.0116959997</v>
      </c>
      <c r="M12" s="202">
        <f t="shared" ref="M12:M67" si="3">I12*F12</f>
        <v>0</v>
      </c>
      <c r="N12" s="202">
        <f t="shared" ref="N12:N67" si="4">J12*F12</f>
        <v>3493379.0634000003</v>
      </c>
      <c r="O12" s="202">
        <f t="shared" ref="O12:O26" si="5">F12*K12</f>
        <v>340281.21245200001</v>
      </c>
    </row>
    <row r="13" spans="2:15" ht="19.899999999999999" customHeight="1">
      <c r="B13" s="106" t="s">
        <v>41</v>
      </c>
      <c r="C13" s="850"/>
      <c r="D13" s="197" t="s">
        <v>674</v>
      </c>
      <c r="E13" s="857"/>
      <c r="F13" s="199"/>
      <c r="G13" s="198"/>
      <c r="H13" s="355"/>
      <c r="I13" s="355"/>
      <c r="J13" s="355"/>
      <c r="K13" s="355"/>
      <c r="L13" s="202">
        <v>0</v>
      </c>
      <c r="M13" s="202">
        <f t="shared" si="3"/>
        <v>0</v>
      </c>
      <c r="N13" s="202">
        <f t="shared" si="4"/>
        <v>0</v>
      </c>
      <c r="O13" s="202">
        <f t="shared" si="5"/>
        <v>0</v>
      </c>
    </row>
    <row r="14" spans="2:15" ht="19.899999999999999" customHeight="1">
      <c r="B14" s="205">
        <v>1</v>
      </c>
      <c r="C14" s="758"/>
      <c r="D14" s="204" t="s">
        <v>668</v>
      </c>
      <c r="E14" s="801"/>
      <c r="F14" s="199">
        <v>38</v>
      </c>
      <c r="G14" s="198" t="s">
        <v>87</v>
      </c>
      <c r="H14" s="355">
        <v>0</v>
      </c>
      <c r="I14" s="355">
        <v>955963.2</v>
      </c>
      <c r="J14" s="355">
        <v>203590.13800000001</v>
      </c>
      <c r="K14" s="355">
        <v>2005.4749999999999</v>
      </c>
      <c r="L14" s="202">
        <v>0</v>
      </c>
      <c r="M14" s="202">
        <f t="shared" si="3"/>
        <v>36326601.600000001</v>
      </c>
      <c r="N14" s="202">
        <f t="shared" si="4"/>
        <v>7736425.2439999999</v>
      </c>
      <c r="O14" s="202">
        <f t="shared" si="5"/>
        <v>76208.05</v>
      </c>
    </row>
    <row r="15" spans="2:15" s="66" customFormat="1" ht="19.899999999999999" customHeight="1">
      <c r="B15" s="106" t="s">
        <v>45</v>
      </c>
      <c r="C15" s="850"/>
      <c r="D15" s="197" t="s">
        <v>604</v>
      </c>
      <c r="E15" s="857"/>
      <c r="F15" s="354"/>
      <c r="G15" s="353"/>
      <c r="H15" s="356"/>
      <c r="I15" s="356"/>
      <c r="J15" s="356"/>
      <c r="K15" s="356"/>
      <c r="L15" s="202">
        <v>0</v>
      </c>
      <c r="M15" s="202">
        <f t="shared" si="3"/>
        <v>0</v>
      </c>
      <c r="N15" s="202">
        <f t="shared" si="4"/>
        <v>0</v>
      </c>
      <c r="O15" s="202">
        <f t="shared" si="5"/>
        <v>0</v>
      </c>
    </row>
    <row r="16" spans="2:15" ht="19.899999999999999" customHeight="1">
      <c r="B16" s="205">
        <v>1</v>
      </c>
      <c r="C16" s="758"/>
      <c r="D16" s="204" t="s">
        <v>1138</v>
      </c>
      <c r="E16" s="801"/>
      <c r="F16" s="199">
        <v>22</v>
      </c>
      <c r="G16" s="198" t="s">
        <v>90</v>
      </c>
      <c r="H16" s="355">
        <v>0</v>
      </c>
      <c r="I16" s="355">
        <v>4995401.4720000001</v>
      </c>
      <c r="J16" s="355">
        <v>591021.93699999992</v>
      </c>
      <c r="K16" s="355">
        <v>220284.99900000001</v>
      </c>
      <c r="L16" s="202">
        <v>0</v>
      </c>
      <c r="M16" s="202">
        <f t="shared" si="3"/>
        <v>109898832.384</v>
      </c>
      <c r="N16" s="202">
        <f t="shared" si="4"/>
        <v>13002482.613999998</v>
      </c>
      <c r="O16" s="202">
        <f t="shared" si="5"/>
        <v>4846269.9780000001</v>
      </c>
    </row>
    <row r="17" spans="1:16" ht="19.899999999999999" customHeight="1">
      <c r="A17" s="32">
        <v>2</v>
      </c>
      <c r="B17" s="205">
        <v>1</v>
      </c>
      <c r="C17" s="758"/>
      <c r="D17" s="204" t="s">
        <v>1140</v>
      </c>
      <c r="E17" s="801"/>
      <c r="F17" s="199">
        <v>4</v>
      </c>
      <c r="G17" s="198" t="s">
        <v>90</v>
      </c>
      <c r="H17" s="355">
        <v>0</v>
      </c>
      <c r="I17" s="355">
        <v>7295401.4720000001</v>
      </c>
      <c r="J17" s="355">
        <v>736417.11</v>
      </c>
      <c r="K17" s="355">
        <v>220284.99900000001</v>
      </c>
      <c r="L17" s="202">
        <v>0</v>
      </c>
      <c r="M17" s="202">
        <f t="shared" si="3"/>
        <v>29181605.888</v>
      </c>
      <c r="N17" s="202">
        <f t="shared" si="4"/>
        <v>2945668.44</v>
      </c>
      <c r="O17" s="202">
        <f t="shared" si="5"/>
        <v>881139.99600000004</v>
      </c>
    </row>
    <row r="18" spans="1:16" ht="19.899999999999999" customHeight="1">
      <c r="B18" s="106" t="s">
        <v>46</v>
      </c>
      <c r="C18" s="850"/>
      <c r="D18" s="197" t="s">
        <v>20</v>
      </c>
      <c r="E18" s="857"/>
      <c r="F18" s="203"/>
      <c r="G18" s="198"/>
      <c r="H18" s="200"/>
      <c r="I18" s="200"/>
      <c r="J18" s="200"/>
      <c r="K18" s="200"/>
      <c r="L18" s="202">
        <v>0</v>
      </c>
      <c r="M18" s="202">
        <f t="shared" si="3"/>
        <v>0</v>
      </c>
      <c r="N18" s="202">
        <f t="shared" si="4"/>
        <v>0</v>
      </c>
      <c r="O18" s="202">
        <f t="shared" si="5"/>
        <v>0</v>
      </c>
    </row>
    <row r="19" spans="1:16" ht="19.899999999999999" customHeight="1">
      <c r="B19" s="205">
        <v>1</v>
      </c>
      <c r="C19" s="758"/>
      <c r="D19" s="204" t="s">
        <v>611</v>
      </c>
      <c r="E19" s="801"/>
      <c r="F19" s="201">
        <v>2</v>
      </c>
      <c r="G19" s="198" t="s">
        <v>87</v>
      </c>
      <c r="H19" s="202">
        <v>0</v>
      </c>
      <c r="I19" s="202">
        <v>1265000</v>
      </c>
      <c r="J19" s="202">
        <v>711341.1632800001</v>
      </c>
      <c r="K19" s="202">
        <v>0</v>
      </c>
      <c r="L19" s="202">
        <v>0</v>
      </c>
      <c r="M19" s="202">
        <f t="shared" si="3"/>
        <v>2530000</v>
      </c>
      <c r="N19" s="202">
        <f t="shared" si="4"/>
        <v>1422682.3265600002</v>
      </c>
      <c r="O19" s="202">
        <f t="shared" si="5"/>
        <v>0</v>
      </c>
    </row>
    <row r="20" spans="1:16" ht="19.899999999999999" customHeight="1">
      <c r="B20" s="205">
        <v>2</v>
      </c>
      <c r="C20" s="758"/>
      <c r="D20" s="204" t="s">
        <v>612</v>
      </c>
      <c r="E20" s="801"/>
      <c r="F20" s="201">
        <v>8</v>
      </c>
      <c r="G20" s="198" t="s">
        <v>87</v>
      </c>
      <c r="H20" s="202">
        <v>0</v>
      </c>
      <c r="I20" s="202">
        <v>2309800</v>
      </c>
      <c r="J20" s="202">
        <v>685717.62434999994</v>
      </c>
      <c r="K20" s="202">
        <v>0</v>
      </c>
      <c r="L20" s="202">
        <v>0</v>
      </c>
      <c r="M20" s="202">
        <f t="shared" si="3"/>
        <v>18478400</v>
      </c>
      <c r="N20" s="202">
        <f t="shared" si="4"/>
        <v>5485740.9947999995</v>
      </c>
      <c r="O20" s="202">
        <f t="shared" si="5"/>
        <v>0</v>
      </c>
    </row>
    <row r="21" spans="1:16" ht="19.899999999999999" customHeight="1">
      <c r="B21" s="205">
        <v>3</v>
      </c>
      <c r="C21" s="758"/>
      <c r="D21" s="204" t="s">
        <v>609</v>
      </c>
      <c r="E21" s="801"/>
      <c r="F21" s="201">
        <v>1</v>
      </c>
      <c r="G21" s="198" t="s">
        <v>87</v>
      </c>
      <c r="H21" s="202">
        <v>0</v>
      </c>
      <c r="I21" s="202">
        <v>1136400</v>
      </c>
      <c r="J21" s="202">
        <v>382653.65985000005</v>
      </c>
      <c r="K21" s="202">
        <v>0</v>
      </c>
      <c r="L21" s="202">
        <v>0</v>
      </c>
      <c r="M21" s="202">
        <f t="shared" si="3"/>
        <v>1136400</v>
      </c>
      <c r="N21" s="202">
        <f t="shared" si="4"/>
        <v>382653.65985000005</v>
      </c>
      <c r="O21" s="202">
        <f t="shared" si="5"/>
        <v>0</v>
      </c>
    </row>
    <row r="22" spans="1:16" ht="19.899999999999999" customHeight="1">
      <c r="B22" s="205">
        <v>4</v>
      </c>
      <c r="C22" s="758"/>
      <c r="D22" s="204" t="s">
        <v>956</v>
      </c>
      <c r="E22" s="801"/>
      <c r="F22" s="201">
        <v>45</v>
      </c>
      <c r="G22" s="198" t="s">
        <v>87</v>
      </c>
      <c r="H22" s="202">
        <v>0</v>
      </c>
      <c r="I22" s="202">
        <v>844200</v>
      </c>
      <c r="J22" s="202">
        <v>339035.10795000003</v>
      </c>
      <c r="K22" s="202">
        <v>0</v>
      </c>
      <c r="L22" s="202">
        <v>0</v>
      </c>
      <c r="M22" s="202">
        <f t="shared" si="3"/>
        <v>37989000</v>
      </c>
      <c r="N22" s="202">
        <f t="shared" si="4"/>
        <v>15256579.857750002</v>
      </c>
      <c r="O22" s="202">
        <f t="shared" si="5"/>
        <v>0</v>
      </c>
    </row>
    <row r="23" spans="1:16" ht="19.899999999999999" customHeight="1">
      <c r="B23" s="205">
        <v>5</v>
      </c>
      <c r="C23" s="758"/>
      <c r="D23" s="204" t="s">
        <v>959</v>
      </c>
      <c r="E23" s="801"/>
      <c r="F23" s="201">
        <v>4</v>
      </c>
      <c r="G23" s="198" t="s">
        <v>87</v>
      </c>
      <c r="H23" s="202">
        <v>0</v>
      </c>
      <c r="I23" s="202">
        <v>1725400</v>
      </c>
      <c r="J23" s="202">
        <v>469041.05160000006</v>
      </c>
      <c r="K23" s="202">
        <v>0</v>
      </c>
      <c r="L23" s="202">
        <v>0</v>
      </c>
      <c r="M23" s="202">
        <f t="shared" si="3"/>
        <v>6901600</v>
      </c>
      <c r="N23" s="202">
        <f t="shared" si="4"/>
        <v>1876164.2064000003</v>
      </c>
      <c r="O23" s="202">
        <f t="shared" si="5"/>
        <v>0</v>
      </c>
    </row>
    <row r="24" spans="1:16" ht="19.899999999999999" customHeight="1">
      <c r="B24" s="205">
        <v>6</v>
      </c>
      <c r="C24" s="758"/>
      <c r="D24" s="204" t="s">
        <v>613</v>
      </c>
      <c r="E24" s="801"/>
      <c r="F24" s="201">
        <v>2</v>
      </c>
      <c r="G24" s="198" t="s">
        <v>87</v>
      </c>
      <c r="H24" s="202">
        <v>0</v>
      </c>
      <c r="I24" s="202">
        <v>1591800</v>
      </c>
      <c r="J24" s="202">
        <v>637567.27485000005</v>
      </c>
      <c r="K24" s="202">
        <v>0</v>
      </c>
      <c r="L24" s="202">
        <v>0</v>
      </c>
      <c r="M24" s="202">
        <f t="shared" si="3"/>
        <v>3183600</v>
      </c>
      <c r="N24" s="202">
        <f t="shared" si="4"/>
        <v>1275134.5497000001</v>
      </c>
      <c r="O24" s="202">
        <f t="shared" si="5"/>
        <v>0</v>
      </c>
    </row>
    <row r="25" spans="1:16" ht="19.899999999999999" customHeight="1">
      <c r="B25" s="205">
        <v>7</v>
      </c>
      <c r="C25" s="758"/>
      <c r="D25" s="204" t="s">
        <v>585</v>
      </c>
      <c r="E25" s="801"/>
      <c r="F25" s="201">
        <v>1</v>
      </c>
      <c r="G25" s="198" t="s">
        <v>87</v>
      </c>
      <c r="H25" s="202">
        <v>0</v>
      </c>
      <c r="I25" s="202">
        <v>3477800</v>
      </c>
      <c r="J25" s="202">
        <v>912307.50434999994</v>
      </c>
      <c r="K25" s="202">
        <v>0</v>
      </c>
      <c r="L25" s="202">
        <v>0</v>
      </c>
      <c r="M25" s="202">
        <f t="shared" si="3"/>
        <v>3477800</v>
      </c>
      <c r="N25" s="202">
        <f t="shared" si="4"/>
        <v>912307.50434999994</v>
      </c>
      <c r="O25" s="202">
        <f t="shared" si="5"/>
        <v>0</v>
      </c>
    </row>
    <row r="26" spans="1:16" ht="19.899999999999999" customHeight="1">
      <c r="B26" s="106" t="s">
        <v>639</v>
      </c>
      <c r="C26" s="850"/>
      <c r="D26" s="197" t="s">
        <v>170</v>
      </c>
      <c r="E26" s="857"/>
      <c r="F26" s="352">
        <v>1</v>
      </c>
      <c r="G26" s="353" t="s">
        <v>96</v>
      </c>
      <c r="H26" s="343"/>
      <c r="I26" s="343"/>
      <c r="J26" s="343"/>
      <c r="K26" s="343"/>
      <c r="L26" s="202">
        <v>0</v>
      </c>
      <c r="M26" s="202">
        <f t="shared" si="3"/>
        <v>0</v>
      </c>
      <c r="N26" s="202">
        <f t="shared" si="4"/>
        <v>0</v>
      </c>
      <c r="O26" s="202">
        <f t="shared" si="5"/>
        <v>0</v>
      </c>
    </row>
    <row r="27" spans="1:16" s="755" customFormat="1" ht="19.899999999999999" customHeight="1">
      <c r="B27" s="756" t="s">
        <v>639</v>
      </c>
      <c r="C27" s="756"/>
      <c r="D27" s="757" t="s">
        <v>269</v>
      </c>
      <c r="E27" s="757"/>
      <c r="F27" s="758"/>
      <c r="G27" s="758"/>
      <c r="H27" s="759"/>
      <c r="I27" s="760"/>
      <c r="J27" s="761"/>
      <c r="K27" s="759"/>
      <c r="L27" s="762">
        <v>0</v>
      </c>
      <c r="M27" s="762">
        <f>SUM(M28:M66)</f>
        <v>446005446.66666663</v>
      </c>
      <c r="N27" s="762">
        <f>SUM(N28:N66)</f>
        <v>69357310.612326905</v>
      </c>
      <c r="O27" s="763">
        <f>SUM(O28:O66)</f>
        <v>63877.601716500008</v>
      </c>
    </row>
    <row r="28" spans="1:16" ht="19.899999999999999" customHeight="1">
      <c r="B28" s="764" t="s">
        <v>1151</v>
      </c>
      <c r="C28" s="851"/>
      <c r="D28" s="765" t="s">
        <v>962</v>
      </c>
      <c r="E28" s="858"/>
      <c r="F28" s="766">
        <v>132</v>
      </c>
      <c r="G28" s="766" t="s">
        <v>99</v>
      </c>
      <c r="H28" s="767"/>
      <c r="I28" s="768">
        <v>592200</v>
      </c>
      <c r="J28" s="769">
        <v>35259.839999999997</v>
      </c>
      <c r="K28" s="767"/>
      <c r="L28" s="770">
        <v>0</v>
      </c>
      <c r="M28" s="768">
        <f t="shared" ref="M28:M35" si="6">I28*F28</f>
        <v>78170400</v>
      </c>
      <c r="N28" s="770">
        <f t="shared" ref="N28:N35" si="7">J28*F28</f>
        <v>4654298.88</v>
      </c>
      <c r="O28" s="770">
        <f t="shared" ref="O28:O35" si="8">+K28*F28</f>
        <v>0</v>
      </c>
    </row>
    <row r="29" spans="1:16" ht="19.899999999999999" customHeight="1">
      <c r="B29" s="764" t="s">
        <v>1557</v>
      </c>
      <c r="C29" s="851"/>
      <c r="D29" s="765" t="s">
        <v>1555</v>
      </c>
      <c r="E29" s="858"/>
      <c r="F29" s="766">
        <v>44</v>
      </c>
      <c r="G29" s="766" t="s">
        <v>99</v>
      </c>
      <c r="H29" s="767"/>
      <c r="I29" s="768">
        <v>480000</v>
      </c>
      <c r="J29" s="769">
        <v>28648.620000000003</v>
      </c>
      <c r="K29" s="767"/>
      <c r="L29" s="770">
        <v>0</v>
      </c>
      <c r="M29" s="768">
        <f t="shared" si="6"/>
        <v>21120000</v>
      </c>
      <c r="N29" s="770">
        <f t="shared" si="7"/>
        <v>1260539.28</v>
      </c>
      <c r="O29" s="770">
        <f t="shared" si="8"/>
        <v>0</v>
      </c>
    </row>
    <row r="30" spans="1:16" ht="19.899999999999999" customHeight="1">
      <c r="B30" s="764" t="s">
        <v>1558</v>
      </c>
      <c r="C30" s="851"/>
      <c r="D30" s="765" t="s">
        <v>1553</v>
      </c>
      <c r="E30" s="858"/>
      <c r="F30" s="766">
        <v>72</v>
      </c>
      <c r="G30" s="766" t="s">
        <v>99</v>
      </c>
      <c r="H30" s="767"/>
      <c r="I30" s="768">
        <v>396000</v>
      </c>
      <c r="J30" s="769">
        <v>15426.18</v>
      </c>
      <c r="K30" s="767"/>
      <c r="L30" s="770">
        <v>0</v>
      </c>
      <c r="M30" s="768">
        <f t="shared" si="6"/>
        <v>28512000</v>
      </c>
      <c r="N30" s="770">
        <f t="shared" si="7"/>
        <v>1110684.96</v>
      </c>
      <c r="O30" s="770">
        <f t="shared" si="8"/>
        <v>0</v>
      </c>
      <c r="P30" s="113"/>
    </row>
    <row r="31" spans="1:16" s="66" customFormat="1" ht="19.899999999999999" customHeight="1">
      <c r="B31" s="764" t="s">
        <v>1558</v>
      </c>
      <c r="C31" s="851"/>
      <c r="D31" s="765" t="s">
        <v>1554</v>
      </c>
      <c r="E31" s="858"/>
      <c r="F31" s="766">
        <v>24</v>
      </c>
      <c r="G31" s="766" t="s">
        <v>99</v>
      </c>
      <c r="H31" s="767"/>
      <c r="I31" s="771">
        <v>206600</v>
      </c>
      <c r="J31" s="769">
        <v>15426.18</v>
      </c>
      <c r="K31" s="767"/>
      <c r="L31" s="770">
        <v>0</v>
      </c>
      <c r="M31" s="768">
        <f t="shared" si="6"/>
        <v>4958400</v>
      </c>
      <c r="N31" s="770">
        <f t="shared" si="7"/>
        <v>370228.32</v>
      </c>
      <c r="O31" s="770">
        <f t="shared" si="8"/>
        <v>0</v>
      </c>
    </row>
    <row r="32" spans="1:16" s="66" customFormat="1" ht="19.899999999999999" customHeight="1">
      <c r="B32" s="772"/>
      <c r="C32" s="852"/>
      <c r="D32" s="773" t="s">
        <v>702</v>
      </c>
      <c r="E32" s="859"/>
      <c r="F32" s="774">
        <v>137.69999999999999</v>
      </c>
      <c r="G32" s="205" t="s">
        <v>99</v>
      </c>
      <c r="H32" s="775"/>
      <c r="I32" s="776">
        <v>79300</v>
      </c>
      <c r="J32" s="777"/>
      <c r="K32" s="775"/>
      <c r="L32" s="770">
        <v>0</v>
      </c>
      <c r="M32" s="768">
        <f t="shared" si="6"/>
        <v>10919610</v>
      </c>
      <c r="N32" s="770">
        <f t="shared" si="7"/>
        <v>0</v>
      </c>
      <c r="O32" s="770">
        <f t="shared" si="8"/>
        <v>0</v>
      </c>
    </row>
    <row r="33" spans="2:16" s="160" customFormat="1" ht="19.899999999999999" customHeight="1">
      <c r="B33" s="772" t="s">
        <v>307</v>
      </c>
      <c r="C33" s="852"/>
      <c r="D33" s="773" t="s">
        <v>1150</v>
      </c>
      <c r="E33" s="859"/>
      <c r="F33" s="778">
        <v>0.13500000000000001</v>
      </c>
      <c r="G33" s="205" t="s">
        <v>1149</v>
      </c>
      <c r="H33" s="775"/>
      <c r="I33" s="338"/>
      <c r="J33" s="777">
        <v>5106814.9341000011</v>
      </c>
      <c r="K33" s="777">
        <v>303188.51750000002</v>
      </c>
      <c r="L33" s="770">
        <v>0</v>
      </c>
      <c r="M33" s="768">
        <f t="shared" si="6"/>
        <v>0</v>
      </c>
      <c r="N33" s="770">
        <f t="shared" si="7"/>
        <v>689420.01610350015</v>
      </c>
      <c r="O33" s="770">
        <f t="shared" si="8"/>
        <v>40930.449862500005</v>
      </c>
      <c r="P33" s="334"/>
    </row>
    <row r="34" spans="2:16" s="160" customFormat="1" ht="19.899999999999999" customHeight="1">
      <c r="B34" s="772"/>
      <c r="C34" s="852"/>
      <c r="D34" s="773" t="s">
        <v>823</v>
      </c>
      <c r="E34" s="859"/>
      <c r="F34" s="205">
        <v>208.08</v>
      </c>
      <c r="G34" s="205" t="s">
        <v>99</v>
      </c>
      <c r="H34" s="775"/>
      <c r="I34" s="776">
        <v>37000</v>
      </c>
      <c r="J34" s="777"/>
      <c r="K34" s="775"/>
      <c r="L34" s="770">
        <v>0</v>
      </c>
      <c r="M34" s="768">
        <f t="shared" si="6"/>
        <v>7698960</v>
      </c>
      <c r="N34" s="770">
        <f t="shared" si="7"/>
        <v>0</v>
      </c>
      <c r="O34" s="770">
        <f t="shared" si="8"/>
        <v>0</v>
      </c>
      <c r="P34" s="334"/>
    </row>
    <row r="35" spans="2:16" s="160" customFormat="1" ht="27.75" customHeight="1">
      <c r="B35" s="772" t="s">
        <v>963</v>
      </c>
      <c r="C35" s="852"/>
      <c r="D35" s="773" t="s">
        <v>964</v>
      </c>
      <c r="E35" s="859"/>
      <c r="F35" s="205">
        <v>0.20399999999999999</v>
      </c>
      <c r="G35" s="205" t="s">
        <v>1149</v>
      </c>
      <c r="H35" s="775"/>
      <c r="I35" s="338"/>
      <c r="J35" s="777">
        <v>2156900.78835</v>
      </c>
      <c r="K35" s="777">
        <v>112486.03850000001</v>
      </c>
      <c r="L35" s="770">
        <v>0</v>
      </c>
      <c r="M35" s="768">
        <f t="shared" si="6"/>
        <v>0</v>
      </c>
      <c r="N35" s="770">
        <f t="shared" si="7"/>
        <v>440007.76082339999</v>
      </c>
      <c r="O35" s="770">
        <f t="shared" si="8"/>
        <v>22947.151854</v>
      </c>
    </row>
    <row r="36" spans="2:16" s="115" customFormat="1" ht="19.899999999999999" customHeight="1">
      <c r="B36" s="779"/>
      <c r="C36" s="756"/>
      <c r="D36" s="838" t="s">
        <v>628</v>
      </c>
      <c r="E36" s="860"/>
      <c r="F36" s="839">
        <v>42</v>
      </c>
      <c r="G36" s="783" t="s">
        <v>87</v>
      </c>
      <c r="H36" s="775"/>
      <c r="I36" s="338"/>
      <c r="J36" s="777"/>
      <c r="K36" s="775"/>
      <c r="L36" s="782">
        <v>0</v>
      </c>
      <c r="M36" s="782">
        <v>10920000</v>
      </c>
      <c r="N36" s="782">
        <v>3139227.63</v>
      </c>
      <c r="O36" s="782">
        <v>0</v>
      </c>
    </row>
    <row r="37" spans="2:16" s="115" customFormat="1" ht="35.1" customHeight="1">
      <c r="B37" s="870"/>
      <c r="C37" s="871"/>
      <c r="D37" s="751" t="s">
        <v>967</v>
      </c>
      <c r="E37" s="861"/>
      <c r="F37" s="784">
        <v>12</v>
      </c>
      <c r="G37" s="783" t="s">
        <v>87</v>
      </c>
      <c r="H37" s="870"/>
      <c r="I37" s="872"/>
      <c r="J37" s="872"/>
      <c r="K37" s="872"/>
      <c r="L37" s="873">
        <v>0</v>
      </c>
      <c r="M37" s="873">
        <v>4392000</v>
      </c>
      <c r="N37" s="787">
        <v>0</v>
      </c>
      <c r="O37" s="787">
        <v>0</v>
      </c>
    </row>
    <row r="38" spans="2:16" s="115" customFormat="1" ht="35.1" customHeight="1">
      <c r="B38" s="870"/>
      <c r="C38" s="871"/>
      <c r="D38" s="751" t="s">
        <v>969</v>
      </c>
      <c r="E38" s="861"/>
      <c r="F38" s="784">
        <v>6</v>
      </c>
      <c r="G38" s="783" t="s">
        <v>87</v>
      </c>
      <c r="H38" s="870"/>
      <c r="I38" s="872"/>
      <c r="J38" s="872"/>
      <c r="K38" s="872"/>
      <c r="L38" s="873">
        <v>0</v>
      </c>
      <c r="M38" s="873">
        <v>1524000</v>
      </c>
      <c r="N38" s="787">
        <v>0</v>
      </c>
      <c r="O38" s="787">
        <v>0</v>
      </c>
    </row>
    <row r="39" spans="2:16" s="750" customFormat="1" ht="35.1" customHeight="1">
      <c r="B39" s="840"/>
      <c r="C39" s="853"/>
      <c r="D39" s="838" t="s">
        <v>995</v>
      </c>
      <c r="E39" s="860"/>
      <c r="F39" s="839">
        <v>12</v>
      </c>
      <c r="G39" s="783" t="s">
        <v>87</v>
      </c>
      <c r="H39" s="785"/>
      <c r="I39" s="786"/>
      <c r="J39" s="819"/>
      <c r="K39" s="785"/>
      <c r="L39" s="787">
        <v>0</v>
      </c>
      <c r="M39" s="787">
        <v>600000</v>
      </c>
      <c r="N39" s="787">
        <v>1630767.5999999999</v>
      </c>
      <c r="O39" s="787">
        <v>0</v>
      </c>
    </row>
    <row r="40" spans="2:16" s="115" customFormat="1" ht="35.1" customHeight="1">
      <c r="B40" s="783"/>
      <c r="C40" s="854"/>
      <c r="D40" s="751" t="s">
        <v>630</v>
      </c>
      <c r="E40" s="861"/>
      <c r="F40" s="784">
        <v>117</v>
      </c>
      <c r="G40" s="783" t="s">
        <v>87</v>
      </c>
      <c r="H40" s="785"/>
      <c r="I40" s="786"/>
      <c r="J40" s="786"/>
      <c r="K40" s="786"/>
      <c r="L40" s="787">
        <v>0</v>
      </c>
      <c r="M40" s="787">
        <v>40007760</v>
      </c>
      <c r="N40" s="787">
        <v>7378899.4421999995</v>
      </c>
      <c r="O40" s="787">
        <v>0</v>
      </c>
    </row>
    <row r="41" spans="2:16" s="115" customFormat="1" ht="35.1" customHeight="1">
      <c r="B41" s="783"/>
      <c r="C41" s="854"/>
      <c r="D41" s="751" t="s">
        <v>1560</v>
      </c>
      <c r="E41" s="861"/>
      <c r="F41" s="784">
        <v>85</v>
      </c>
      <c r="G41" s="783" t="s">
        <v>87</v>
      </c>
      <c r="H41" s="785"/>
      <c r="I41" s="786"/>
      <c r="J41" s="786"/>
      <c r="K41" s="786"/>
      <c r="L41" s="787">
        <v>0</v>
      </c>
      <c r="M41" s="787">
        <v>1015466.6666666666</v>
      </c>
      <c r="N41" s="787">
        <v>9746798.0199999996</v>
      </c>
      <c r="O41" s="787">
        <v>0</v>
      </c>
    </row>
    <row r="42" spans="2:16" s="115" customFormat="1" ht="19.899999999999999" customHeight="1">
      <c r="B42" s="841"/>
      <c r="C42" s="855"/>
      <c r="D42" s="842" t="s">
        <v>621</v>
      </c>
      <c r="E42" s="862"/>
      <c r="F42" s="844">
        <v>54</v>
      </c>
      <c r="G42" s="843" t="s">
        <v>87</v>
      </c>
      <c r="H42" s="845"/>
      <c r="I42" s="786"/>
      <c r="J42" s="846"/>
      <c r="K42" s="785"/>
      <c r="L42" s="787">
        <v>0</v>
      </c>
      <c r="M42" s="787">
        <v>3159000</v>
      </c>
      <c r="N42" s="787">
        <v>5781440.7882000003</v>
      </c>
      <c r="O42" s="787">
        <v>0</v>
      </c>
    </row>
    <row r="43" spans="2:16" s="160" customFormat="1" ht="19.899999999999999" customHeight="1">
      <c r="B43" s="196"/>
      <c r="C43" s="809"/>
      <c r="D43" s="197" t="s">
        <v>283</v>
      </c>
      <c r="E43" s="857"/>
      <c r="F43" s="789"/>
      <c r="G43" s="205"/>
      <c r="H43" s="788"/>
      <c r="I43" s="338"/>
      <c r="J43" s="788"/>
      <c r="K43" s="790"/>
      <c r="L43" s="770">
        <v>0</v>
      </c>
      <c r="M43" s="768">
        <f t="shared" ref="M43:M66" si="9">I43*F43</f>
        <v>0</v>
      </c>
      <c r="N43" s="770">
        <f t="shared" ref="N43:N66" si="10">J43*F43</f>
        <v>0</v>
      </c>
      <c r="O43" s="770">
        <f t="shared" ref="O43:O66" si="11">+K43*F43</f>
        <v>0</v>
      </c>
    </row>
    <row r="44" spans="2:16" s="160" customFormat="1" ht="19.899999999999999" customHeight="1">
      <c r="B44" s="196"/>
      <c r="C44" s="809"/>
      <c r="D44" s="204" t="s">
        <v>625</v>
      </c>
      <c r="E44" s="801"/>
      <c r="F44" s="789">
        <v>3</v>
      </c>
      <c r="G44" s="205" t="s">
        <v>86</v>
      </c>
      <c r="H44" s="788"/>
      <c r="I44" s="338">
        <v>249000</v>
      </c>
      <c r="J44" s="788"/>
      <c r="K44" s="790"/>
      <c r="L44" s="770">
        <v>0</v>
      </c>
      <c r="M44" s="768">
        <f t="shared" si="9"/>
        <v>747000</v>
      </c>
      <c r="N44" s="770">
        <f t="shared" si="10"/>
        <v>0</v>
      </c>
      <c r="O44" s="770">
        <f t="shared" si="11"/>
        <v>0</v>
      </c>
    </row>
    <row r="45" spans="2:16" s="160" customFormat="1" ht="19.899999999999999" customHeight="1">
      <c r="B45" s="196"/>
      <c r="C45" s="809"/>
      <c r="D45" s="204" t="s">
        <v>624</v>
      </c>
      <c r="E45" s="801"/>
      <c r="F45" s="789">
        <v>3</v>
      </c>
      <c r="G45" s="205" t="s">
        <v>86</v>
      </c>
      <c r="H45" s="788"/>
      <c r="I45" s="338">
        <v>105000</v>
      </c>
      <c r="J45" s="788"/>
      <c r="K45" s="790"/>
      <c r="L45" s="770">
        <v>0</v>
      </c>
      <c r="M45" s="768">
        <f t="shared" si="9"/>
        <v>315000</v>
      </c>
      <c r="N45" s="770">
        <f t="shared" si="10"/>
        <v>0</v>
      </c>
      <c r="O45" s="770">
        <f t="shared" si="11"/>
        <v>0</v>
      </c>
    </row>
    <row r="46" spans="2:16">
      <c r="B46" s="106"/>
      <c r="C46" s="850"/>
      <c r="D46" s="791" t="s">
        <v>971</v>
      </c>
      <c r="E46" s="863"/>
      <c r="F46" s="792">
        <v>51</v>
      </c>
      <c r="G46" s="205" t="s">
        <v>86</v>
      </c>
      <c r="H46" s="788"/>
      <c r="I46" s="338">
        <v>32500</v>
      </c>
      <c r="J46" s="793"/>
      <c r="K46" s="794"/>
      <c r="L46" s="770">
        <v>0</v>
      </c>
      <c r="M46" s="768">
        <f t="shared" si="9"/>
        <v>1657500</v>
      </c>
      <c r="N46" s="770">
        <f t="shared" si="10"/>
        <v>0</v>
      </c>
      <c r="O46" s="770">
        <f t="shared" si="11"/>
        <v>0</v>
      </c>
    </row>
    <row r="47" spans="2:16">
      <c r="B47" s="106"/>
      <c r="C47" s="850"/>
      <c r="D47" s="791" t="s">
        <v>1061</v>
      </c>
      <c r="E47" s="863"/>
      <c r="F47" s="792">
        <v>3</v>
      </c>
      <c r="G47" s="205" t="s">
        <v>86</v>
      </c>
      <c r="H47" s="788"/>
      <c r="I47" s="338">
        <v>18100</v>
      </c>
      <c r="J47" s="793"/>
      <c r="K47" s="794"/>
      <c r="L47" s="770">
        <v>0</v>
      </c>
      <c r="M47" s="768">
        <f t="shared" si="9"/>
        <v>54300</v>
      </c>
      <c r="N47" s="770">
        <f t="shared" si="10"/>
        <v>0</v>
      </c>
      <c r="O47" s="770">
        <f t="shared" si="11"/>
        <v>0</v>
      </c>
    </row>
    <row r="48" spans="2:16">
      <c r="B48" s="106"/>
      <c r="C48" s="850"/>
      <c r="D48" s="791" t="s">
        <v>1062</v>
      </c>
      <c r="E48" s="863"/>
      <c r="F48" s="792">
        <v>6</v>
      </c>
      <c r="G48" s="205" t="s">
        <v>86</v>
      </c>
      <c r="H48" s="788"/>
      <c r="I48" s="338">
        <v>64700</v>
      </c>
      <c r="J48" s="793"/>
      <c r="K48" s="794"/>
      <c r="L48" s="770">
        <v>0</v>
      </c>
      <c r="M48" s="768">
        <f t="shared" si="9"/>
        <v>388200</v>
      </c>
      <c r="N48" s="770">
        <f t="shared" si="10"/>
        <v>0</v>
      </c>
      <c r="O48" s="770">
        <f t="shared" si="11"/>
        <v>0</v>
      </c>
    </row>
    <row r="49" spans="2:15">
      <c r="B49" s="106"/>
      <c r="C49" s="850"/>
      <c r="D49" s="204" t="s">
        <v>973</v>
      </c>
      <c r="E49" s="801"/>
      <c r="F49" s="789">
        <v>24</v>
      </c>
      <c r="G49" s="205" t="s">
        <v>86</v>
      </c>
      <c r="H49" s="775"/>
      <c r="I49" s="338">
        <v>144500</v>
      </c>
      <c r="J49" s="338"/>
      <c r="K49" s="338"/>
      <c r="L49" s="770">
        <v>0</v>
      </c>
      <c r="M49" s="768">
        <f t="shared" si="9"/>
        <v>3468000</v>
      </c>
      <c r="N49" s="770">
        <f t="shared" si="10"/>
        <v>0</v>
      </c>
      <c r="O49" s="770">
        <f t="shared" si="11"/>
        <v>0</v>
      </c>
    </row>
    <row r="50" spans="2:15">
      <c r="B50" s="106"/>
      <c r="C50" s="850"/>
      <c r="D50" s="204" t="s">
        <v>972</v>
      </c>
      <c r="E50" s="801"/>
      <c r="F50" s="789">
        <v>5</v>
      </c>
      <c r="G50" s="205" t="s">
        <v>86</v>
      </c>
      <c r="H50" s="775"/>
      <c r="I50" s="338">
        <v>81000</v>
      </c>
      <c r="J50" s="338"/>
      <c r="K50" s="338"/>
      <c r="L50" s="770">
        <v>0</v>
      </c>
      <c r="M50" s="768">
        <f t="shared" si="9"/>
        <v>405000</v>
      </c>
      <c r="N50" s="770">
        <f t="shared" si="10"/>
        <v>0</v>
      </c>
      <c r="O50" s="770">
        <f t="shared" si="11"/>
        <v>0</v>
      </c>
    </row>
    <row r="51" spans="2:15">
      <c r="B51" s="196"/>
      <c r="C51" s="809"/>
      <c r="D51" s="204" t="s">
        <v>985</v>
      </c>
      <c r="E51" s="801"/>
      <c r="F51" s="789">
        <v>63</v>
      </c>
      <c r="G51" s="205" t="s">
        <v>86</v>
      </c>
      <c r="H51" s="788"/>
      <c r="I51" s="338">
        <v>105000</v>
      </c>
      <c r="J51" s="788"/>
      <c r="K51" s="790"/>
      <c r="L51" s="770">
        <v>0</v>
      </c>
      <c r="M51" s="768">
        <f t="shared" si="9"/>
        <v>6615000</v>
      </c>
      <c r="N51" s="770">
        <f t="shared" si="10"/>
        <v>0</v>
      </c>
      <c r="O51" s="770">
        <f t="shared" si="11"/>
        <v>0</v>
      </c>
    </row>
    <row r="52" spans="2:15">
      <c r="B52" s="196"/>
      <c r="C52" s="809"/>
      <c r="D52" s="204" t="s">
        <v>986</v>
      </c>
      <c r="E52" s="801"/>
      <c r="F52" s="789">
        <v>14</v>
      </c>
      <c r="G52" s="205" t="s">
        <v>86</v>
      </c>
      <c r="H52" s="788"/>
      <c r="I52" s="338">
        <v>80000</v>
      </c>
      <c r="J52" s="788"/>
      <c r="K52" s="790"/>
      <c r="L52" s="770">
        <v>0</v>
      </c>
      <c r="M52" s="768">
        <f t="shared" si="9"/>
        <v>1120000</v>
      </c>
      <c r="N52" s="770">
        <f t="shared" si="10"/>
        <v>0</v>
      </c>
      <c r="O52" s="770">
        <f t="shared" si="11"/>
        <v>0</v>
      </c>
    </row>
    <row r="53" spans="2:15">
      <c r="B53" s="106"/>
      <c r="C53" s="850"/>
      <c r="D53" s="204" t="s">
        <v>720</v>
      </c>
      <c r="E53" s="801"/>
      <c r="F53" s="789">
        <v>42</v>
      </c>
      <c r="G53" s="205" t="s">
        <v>86</v>
      </c>
      <c r="H53" s="775"/>
      <c r="I53" s="338">
        <v>30000</v>
      </c>
      <c r="J53" s="338"/>
      <c r="K53" s="338"/>
      <c r="L53" s="770">
        <v>0</v>
      </c>
      <c r="M53" s="768">
        <f t="shared" si="9"/>
        <v>1260000</v>
      </c>
      <c r="N53" s="770">
        <f t="shared" si="10"/>
        <v>0</v>
      </c>
      <c r="O53" s="770">
        <f t="shared" si="11"/>
        <v>0</v>
      </c>
    </row>
    <row r="54" spans="2:15" ht="30">
      <c r="B54" s="106"/>
      <c r="C54" s="850"/>
      <c r="D54" s="204" t="s">
        <v>717</v>
      </c>
      <c r="E54" s="801"/>
      <c r="F54" s="789">
        <v>51</v>
      </c>
      <c r="G54" s="205" t="s">
        <v>109</v>
      </c>
      <c r="H54" s="775"/>
      <c r="I54" s="338">
        <v>390000</v>
      </c>
      <c r="J54" s="338"/>
      <c r="K54" s="338"/>
      <c r="L54" s="770">
        <v>0</v>
      </c>
      <c r="M54" s="768">
        <f t="shared" si="9"/>
        <v>19890000</v>
      </c>
      <c r="N54" s="770">
        <f t="shared" si="10"/>
        <v>0</v>
      </c>
      <c r="O54" s="770">
        <f t="shared" si="11"/>
        <v>0</v>
      </c>
    </row>
    <row r="55" spans="2:15" ht="30">
      <c r="B55" s="106"/>
      <c r="C55" s="850"/>
      <c r="D55" s="204" t="s">
        <v>718</v>
      </c>
      <c r="E55" s="801"/>
      <c r="F55" s="789">
        <v>53</v>
      </c>
      <c r="G55" s="205" t="s">
        <v>109</v>
      </c>
      <c r="H55" s="775"/>
      <c r="I55" s="338">
        <v>390000</v>
      </c>
      <c r="J55" s="338"/>
      <c r="K55" s="338"/>
      <c r="L55" s="770">
        <v>0</v>
      </c>
      <c r="M55" s="768">
        <f t="shared" si="9"/>
        <v>20670000</v>
      </c>
      <c r="N55" s="770">
        <f t="shared" si="10"/>
        <v>0</v>
      </c>
      <c r="O55" s="770">
        <f t="shared" si="11"/>
        <v>0</v>
      </c>
    </row>
    <row r="56" spans="2:15" ht="30">
      <c r="B56" s="106"/>
      <c r="C56" s="850"/>
      <c r="D56" s="204" t="s">
        <v>987</v>
      </c>
      <c r="E56" s="801"/>
      <c r="F56" s="789">
        <v>211.5</v>
      </c>
      <c r="G56" s="205" t="s">
        <v>99</v>
      </c>
      <c r="H56" s="775"/>
      <c r="I56" s="776">
        <v>25900</v>
      </c>
      <c r="J56" s="338"/>
      <c r="K56" s="338"/>
      <c r="L56" s="770">
        <v>0</v>
      </c>
      <c r="M56" s="768">
        <f t="shared" si="9"/>
        <v>5477850</v>
      </c>
      <c r="N56" s="770">
        <f t="shared" si="10"/>
        <v>0</v>
      </c>
      <c r="O56" s="770">
        <f t="shared" si="11"/>
        <v>0</v>
      </c>
    </row>
    <row r="57" spans="2:15" ht="24" customHeight="1">
      <c r="B57" s="795" t="s">
        <v>115</v>
      </c>
      <c r="C57" s="758"/>
      <c r="D57" s="796" t="s">
        <v>1552</v>
      </c>
      <c r="E57" s="801"/>
      <c r="F57" s="797">
        <v>94</v>
      </c>
      <c r="G57" s="795" t="s">
        <v>87</v>
      </c>
      <c r="H57" s="798"/>
      <c r="I57" s="776"/>
      <c r="J57" s="776">
        <v>22925.426000000003</v>
      </c>
      <c r="K57" s="776"/>
      <c r="L57" s="799">
        <v>0</v>
      </c>
      <c r="M57" s="776">
        <f t="shared" si="9"/>
        <v>0</v>
      </c>
      <c r="N57" s="799">
        <f t="shared" si="10"/>
        <v>2154990.0440000002</v>
      </c>
      <c r="O57" s="799">
        <f t="shared" si="11"/>
        <v>0</v>
      </c>
    </row>
    <row r="58" spans="2:15">
      <c r="B58" s="106"/>
      <c r="C58" s="850"/>
      <c r="D58" s="197" t="s">
        <v>980</v>
      </c>
      <c r="E58" s="857"/>
      <c r="F58" s="789"/>
      <c r="G58" s="205"/>
      <c r="H58" s="775"/>
      <c r="I58" s="338"/>
      <c r="J58" s="338"/>
      <c r="K58" s="338"/>
      <c r="L58" s="800">
        <v>0</v>
      </c>
      <c r="M58" s="338">
        <f t="shared" si="9"/>
        <v>0</v>
      </c>
      <c r="N58" s="800">
        <f t="shared" si="10"/>
        <v>0</v>
      </c>
      <c r="O58" s="800">
        <f t="shared" si="11"/>
        <v>0</v>
      </c>
    </row>
    <row r="59" spans="2:15" ht="30">
      <c r="B59" s="106"/>
      <c r="C59" s="850"/>
      <c r="D59" s="204" t="s">
        <v>981</v>
      </c>
      <c r="E59" s="801"/>
      <c r="F59" s="789">
        <v>27</v>
      </c>
      <c r="G59" s="205" t="s">
        <v>87</v>
      </c>
      <c r="H59" s="775"/>
      <c r="I59" s="338">
        <v>3820000</v>
      </c>
      <c r="J59" s="338"/>
      <c r="K59" s="338"/>
      <c r="L59" s="800">
        <v>0</v>
      </c>
      <c r="M59" s="338">
        <f t="shared" si="9"/>
        <v>103140000</v>
      </c>
      <c r="N59" s="800">
        <f t="shared" si="10"/>
        <v>0</v>
      </c>
      <c r="O59" s="800">
        <f t="shared" si="11"/>
        <v>0</v>
      </c>
    </row>
    <row r="60" spans="2:15" ht="30">
      <c r="B60" s="205" t="s">
        <v>989</v>
      </c>
      <c r="C60" s="758"/>
      <c r="D60" s="204" t="s">
        <v>988</v>
      </c>
      <c r="E60" s="801"/>
      <c r="F60" s="789">
        <v>27</v>
      </c>
      <c r="G60" s="205" t="s">
        <v>990</v>
      </c>
      <c r="H60" s="775"/>
      <c r="I60" s="338"/>
      <c r="J60" s="338">
        <v>666042.78300000005</v>
      </c>
      <c r="K60" s="338"/>
      <c r="L60" s="800">
        <v>0</v>
      </c>
      <c r="M60" s="338">
        <f t="shared" si="9"/>
        <v>0</v>
      </c>
      <c r="N60" s="800">
        <f t="shared" si="10"/>
        <v>17983155.141000003</v>
      </c>
      <c r="O60" s="800">
        <f t="shared" si="11"/>
        <v>0</v>
      </c>
    </row>
    <row r="61" spans="2:15" ht="30">
      <c r="B61" s="106"/>
      <c r="C61" s="850"/>
      <c r="D61" s="204" t="s">
        <v>982</v>
      </c>
      <c r="E61" s="801"/>
      <c r="F61" s="789">
        <v>6</v>
      </c>
      <c r="G61" s="205" t="s">
        <v>87</v>
      </c>
      <c r="H61" s="775"/>
      <c r="I61" s="338">
        <v>3590000</v>
      </c>
      <c r="J61" s="338"/>
      <c r="K61" s="338"/>
      <c r="L61" s="800">
        <v>0</v>
      </c>
      <c r="M61" s="338">
        <f t="shared" si="9"/>
        <v>21540000</v>
      </c>
      <c r="N61" s="800">
        <f t="shared" si="10"/>
        <v>0</v>
      </c>
      <c r="O61" s="800">
        <f t="shared" si="11"/>
        <v>0</v>
      </c>
    </row>
    <row r="62" spans="2:15" ht="30">
      <c r="B62" s="205" t="s">
        <v>991</v>
      </c>
      <c r="C62" s="758"/>
      <c r="D62" s="204" t="s">
        <v>1152</v>
      </c>
      <c r="E62" s="801"/>
      <c r="F62" s="789">
        <v>6</v>
      </c>
      <c r="G62" s="205" t="s">
        <v>990</v>
      </c>
      <c r="H62" s="775"/>
      <c r="I62" s="338"/>
      <c r="J62" s="338">
        <v>596951.20799999998</v>
      </c>
      <c r="K62" s="338"/>
      <c r="L62" s="800">
        <v>0</v>
      </c>
      <c r="M62" s="338">
        <f t="shared" si="9"/>
        <v>0</v>
      </c>
      <c r="N62" s="800">
        <f t="shared" si="10"/>
        <v>3581707.2479999997</v>
      </c>
      <c r="O62" s="800">
        <f t="shared" si="11"/>
        <v>0</v>
      </c>
    </row>
    <row r="63" spans="2:15" ht="30">
      <c r="B63" s="106"/>
      <c r="C63" s="850"/>
      <c r="D63" s="204" t="s">
        <v>983</v>
      </c>
      <c r="E63" s="801"/>
      <c r="F63" s="789">
        <v>12</v>
      </c>
      <c r="G63" s="205" t="s">
        <v>87</v>
      </c>
      <c r="H63" s="775"/>
      <c r="I63" s="338">
        <v>2650000</v>
      </c>
      <c r="J63" s="338"/>
      <c r="K63" s="338"/>
      <c r="L63" s="800">
        <v>0</v>
      </c>
      <c r="M63" s="338">
        <f t="shared" si="9"/>
        <v>31800000</v>
      </c>
      <c r="N63" s="800">
        <f t="shared" si="10"/>
        <v>0</v>
      </c>
      <c r="O63" s="800">
        <f t="shared" si="11"/>
        <v>0</v>
      </c>
    </row>
    <row r="64" spans="2:15" ht="30">
      <c r="B64" s="205" t="s">
        <v>992</v>
      </c>
      <c r="C64" s="758"/>
      <c r="D64" s="204" t="s">
        <v>1215</v>
      </c>
      <c r="E64" s="801"/>
      <c r="F64" s="789">
        <v>12</v>
      </c>
      <c r="G64" s="205" t="s">
        <v>990</v>
      </c>
      <c r="H64" s="775"/>
      <c r="I64" s="338"/>
      <c r="J64" s="338">
        <v>541677.94799999997</v>
      </c>
      <c r="K64" s="338"/>
      <c r="L64" s="800">
        <v>0</v>
      </c>
      <c r="M64" s="338">
        <f t="shared" si="9"/>
        <v>0</v>
      </c>
      <c r="N64" s="800">
        <f t="shared" si="10"/>
        <v>6500135.3760000002</v>
      </c>
      <c r="O64" s="800">
        <f t="shared" si="11"/>
        <v>0</v>
      </c>
    </row>
    <row r="65" spans="2:15" ht="30">
      <c r="B65" s="106"/>
      <c r="C65" s="850"/>
      <c r="D65" s="204" t="s">
        <v>984</v>
      </c>
      <c r="E65" s="801"/>
      <c r="F65" s="789">
        <v>6</v>
      </c>
      <c r="G65" s="205" t="s">
        <v>87</v>
      </c>
      <c r="H65" s="775"/>
      <c r="I65" s="338">
        <v>2410000</v>
      </c>
      <c r="J65" s="338"/>
      <c r="K65" s="338"/>
      <c r="L65" s="800">
        <v>0</v>
      </c>
      <c r="M65" s="338">
        <f t="shared" si="9"/>
        <v>14460000</v>
      </c>
      <c r="N65" s="800">
        <f t="shared" si="10"/>
        <v>0</v>
      </c>
      <c r="O65" s="800">
        <f t="shared" si="11"/>
        <v>0</v>
      </c>
    </row>
    <row r="66" spans="2:15" ht="30">
      <c r="B66" s="758" t="s">
        <v>993</v>
      </c>
      <c r="C66" s="758"/>
      <c r="D66" s="801" t="s">
        <v>1153</v>
      </c>
      <c r="E66" s="801"/>
      <c r="F66" s="802">
        <v>6</v>
      </c>
      <c r="G66" s="758" t="s">
        <v>990</v>
      </c>
      <c r="H66" s="759"/>
      <c r="I66" s="760"/>
      <c r="J66" s="760">
        <v>489168.35100000002</v>
      </c>
      <c r="K66" s="760"/>
      <c r="L66" s="803">
        <v>0</v>
      </c>
      <c r="M66" s="760">
        <f t="shared" si="9"/>
        <v>0</v>
      </c>
      <c r="N66" s="803">
        <f t="shared" si="10"/>
        <v>2935010.1060000001</v>
      </c>
      <c r="O66" s="803">
        <f t="shared" si="11"/>
        <v>0</v>
      </c>
    </row>
    <row r="67" spans="2:15">
      <c r="B67" s="783">
        <v>2</v>
      </c>
      <c r="C67" s="854"/>
      <c r="D67" s="751" t="s">
        <v>979</v>
      </c>
      <c r="E67" s="861"/>
      <c r="F67" s="753">
        <v>17</v>
      </c>
      <c r="G67" s="752" t="s">
        <v>87</v>
      </c>
      <c r="H67" s="754">
        <v>0</v>
      </c>
      <c r="I67" s="754">
        <v>6628684</v>
      </c>
      <c r="J67" s="754">
        <v>659170.56000000006</v>
      </c>
      <c r="K67" s="754">
        <v>0</v>
      </c>
      <c r="L67" s="754">
        <v>0</v>
      </c>
      <c r="M67" s="754">
        <f t="shared" si="3"/>
        <v>112687628</v>
      </c>
      <c r="N67" s="754">
        <f t="shared" si="4"/>
        <v>11205899.520000001</v>
      </c>
      <c r="O67" s="754">
        <f>F67*K67</f>
        <v>0</v>
      </c>
    </row>
    <row r="68" spans="2:15">
      <c r="B68" s="106" t="s">
        <v>677</v>
      </c>
      <c r="C68" s="850"/>
      <c r="D68" s="804" t="s">
        <v>271</v>
      </c>
      <c r="E68" s="864"/>
      <c r="F68" s="781"/>
      <c r="G68" s="805"/>
      <c r="H68" s="806"/>
      <c r="I68" s="807"/>
      <c r="J68" s="808"/>
      <c r="K68" s="794"/>
      <c r="L68" s="806">
        <f>SUM(L69:L97)</f>
        <v>0</v>
      </c>
      <c r="M68" s="806">
        <f>SUM(M69:M97)</f>
        <v>0</v>
      </c>
      <c r="N68" s="806">
        <f>SUM(N69:N97)</f>
        <v>52593910.192421094</v>
      </c>
      <c r="O68" s="806">
        <f>SUM(O69:O97)</f>
        <v>4738326.1983135007</v>
      </c>
    </row>
    <row r="69" spans="2:15">
      <c r="B69" s="809" t="s">
        <v>1151</v>
      </c>
      <c r="C69" s="809"/>
      <c r="D69" s="810" t="s">
        <v>1561</v>
      </c>
      <c r="E69" s="810"/>
      <c r="F69" s="812">
        <f>'TK TA'!AY146</f>
        <v>99</v>
      </c>
      <c r="G69" s="811" t="s">
        <v>99</v>
      </c>
      <c r="H69" s="803"/>
      <c r="I69" s="760"/>
      <c r="J69" s="761">
        <f>0.16*CDL!$M$107*0.4</f>
        <v>23506.560000000001</v>
      </c>
      <c r="K69" s="813"/>
      <c r="L69" s="803">
        <f t="shared" ref="L69:L97" si="12">+H69*F69</f>
        <v>0</v>
      </c>
      <c r="M69" s="760">
        <f t="shared" ref="M69:M97" si="13">I69*F69</f>
        <v>0</v>
      </c>
      <c r="N69" s="803">
        <f t="shared" ref="N69:N97" si="14">J69*F69</f>
        <v>2327149.44</v>
      </c>
      <c r="O69" s="803">
        <f t="shared" ref="O69:O97" si="15">+K69*F69</f>
        <v>0</v>
      </c>
    </row>
    <row r="70" spans="2:15">
      <c r="B70" s="814" t="s">
        <v>1557</v>
      </c>
      <c r="C70" s="821"/>
      <c r="D70" s="815" t="s">
        <v>1562</v>
      </c>
      <c r="E70" s="822"/>
      <c r="F70" s="817">
        <f>'TK TA'!AZ146</f>
        <v>33</v>
      </c>
      <c r="G70" s="816" t="s">
        <v>99</v>
      </c>
      <c r="H70" s="818"/>
      <c r="I70" s="786"/>
      <c r="J70" s="819">
        <f>0.13*CDL!$M$107*0.4</f>
        <v>19099.080000000002</v>
      </c>
      <c r="K70" s="820"/>
      <c r="L70" s="818">
        <f t="shared" si="12"/>
        <v>0</v>
      </c>
      <c r="M70" s="786">
        <f t="shared" si="13"/>
        <v>0</v>
      </c>
      <c r="N70" s="818">
        <f t="shared" si="14"/>
        <v>630269.64</v>
      </c>
      <c r="O70" s="818">
        <f t="shared" si="15"/>
        <v>0</v>
      </c>
    </row>
    <row r="71" spans="2:15">
      <c r="B71" s="821" t="s">
        <v>1558</v>
      </c>
      <c r="C71" s="821"/>
      <c r="D71" s="822" t="s">
        <v>1563</v>
      </c>
      <c r="E71" s="822"/>
      <c r="F71" s="824">
        <f>'TK TA'!BA146</f>
        <v>54</v>
      </c>
      <c r="G71" s="823" t="s">
        <v>99</v>
      </c>
      <c r="H71" s="825"/>
      <c r="I71" s="826"/>
      <c r="J71" s="827">
        <f>0.07*CDL!$M$107*0.4</f>
        <v>10284.120000000003</v>
      </c>
      <c r="K71" s="828"/>
      <c r="L71" s="825">
        <f t="shared" si="12"/>
        <v>0</v>
      </c>
      <c r="M71" s="826">
        <f t="shared" si="13"/>
        <v>0</v>
      </c>
      <c r="N71" s="825">
        <f t="shared" si="14"/>
        <v>555342.4800000001</v>
      </c>
      <c r="O71" s="825">
        <f t="shared" si="15"/>
        <v>0</v>
      </c>
    </row>
    <row r="72" spans="2:15">
      <c r="B72" s="814" t="s">
        <v>1558</v>
      </c>
      <c r="C72" s="821"/>
      <c r="D72" s="815" t="s">
        <v>1564</v>
      </c>
      <c r="E72" s="822"/>
      <c r="F72" s="817">
        <f>'TK TA'!BB146</f>
        <v>18</v>
      </c>
      <c r="G72" s="816" t="s">
        <v>99</v>
      </c>
      <c r="H72" s="818"/>
      <c r="I72" s="786"/>
      <c r="J72" s="819">
        <f>+J71</f>
        <v>10284.120000000003</v>
      </c>
      <c r="K72" s="820"/>
      <c r="L72" s="818">
        <f t="shared" si="12"/>
        <v>0</v>
      </c>
      <c r="M72" s="786">
        <f t="shared" si="13"/>
        <v>0</v>
      </c>
      <c r="N72" s="818">
        <f t="shared" si="14"/>
        <v>185114.16000000003</v>
      </c>
      <c r="O72" s="818">
        <f t="shared" si="15"/>
        <v>0</v>
      </c>
    </row>
    <row r="73" spans="2:15">
      <c r="B73" s="196" t="s">
        <v>307</v>
      </c>
      <c r="C73" s="809"/>
      <c r="D73" s="829" t="s">
        <v>1155</v>
      </c>
      <c r="E73" s="810"/>
      <c r="F73" s="778">
        <f>'TK TA'!BC146/1000</f>
        <v>0.13500000000000001</v>
      </c>
      <c r="G73" s="830" t="s">
        <v>1149</v>
      </c>
      <c r="H73" s="800"/>
      <c r="I73" s="338"/>
      <c r="J73" s="777">
        <f>21.38*1.1*CDL!$R$4*0.45</f>
        <v>4178303.1279000007</v>
      </c>
      <c r="K73" s="777">
        <f>+(0.22*CDL!$N$107+0.47*CDL!$N$108+0.22*CDL!$N$109)*0.45</f>
        <v>248063.33249999999</v>
      </c>
      <c r="L73" s="800">
        <f t="shared" si="12"/>
        <v>0</v>
      </c>
      <c r="M73" s="338">
        <f t="shared" si="13"/>
        <v>0</v>
      </c>
      <c r="N73" s="800">
        <f t="shared" si="14"/>
        <v>564070.92226650007</v>
      </c>
      <c r="O73" s="800">
        <f t="shared" si="15"/>
        <v>33488.549887499998</v>
      </c>
    </row>
    <row r="74" spans="2:15">
      <c r="B74" s="196" t="s">
        <v>963</v>
      </c>
      <c r="C74" s="809"/>
      <c r="D74" s="829" t="s">
        <v>1000</v>
      </c>
      <c r="E74" s="810"/>
      <c r="F74" s="778">
        <f>'TK TA'!BD146/1000</f>
        <v>0.20399999999999999</v>
      </c>
      <c r="G74" s="830" t="s">
        <v>1149</v>
      </c>
      <c r="H74" s="800"/>
      <c r="I74" s="338"/>
      <c r="J74" s="777">
        <f>12.9*0.7*CDL!$R$4*0.45*1.1</f>
        <v>1764737.00865</v>
      </c>
      <c r="K74" s="777">
        <f>+(0.2*CDL!$N$107+0.27*CDL!$N$108+0*CDL!$N$109)*0.45</f>
        <v>92034.031500000012</v>
      </c>
      <c r="L74" s="800">
        <f t="shared" si="12"/>
        <v>0</v>
      </c>
      <c r="M74" s="338">
        <f t="shared" si="13"/>
        <v>0</v>
      </c>
      <c r="N74" s="800">
        <f t="shared" si="14"/>
        <v>360006.34976459999</v>
      </c>
      <c r="O74" s="800">
        <f t="shared" si="15"/>
        <v>18774.942426000001</v>
      </c>
    </row>
    <row r="75" spans="2:15">
      <c r="B75" s="196" t="s">
        <v>274</v>
      </c>
      <c r="C75" s="809"/>
      <c r="D75" s="829" t="s">
        <v>1001</v>
      </c>
      <c r="E75" s="810"/>
      <c r="F75" s="831">
        <f>'TK TA'!BE146</f>
        <v>4</v>
      </c>
      <c r="G75" s="830" t="s">
        <v>90</v>
      </c>
      <c r="H75" s="800"/>
      <c r="I75" s="338"/>
      <c r="J75" s="338">
        <f>3.9*CDL!R2*0.45</f>
        <v>602523.09</v>
      </c>
      <c r="K75" s="777">
        <f>0.18*CDL!N185*0.45</f>
        <v>180233.18100000001</v>
      </c>
      <c r="L75" s="800">
        <f t="shared" si="12"/>
        <v>0</v>
      </c>
      <c r="M75" s="338">
        <f t="shared" si="13"/>
        <v>0</v>
      </c>
      <c r="N75" s="800">
        <f t="shared" si="14"/>
        <v>2410092.36</v>
      </c>
      <c r="O75" s="800">
        <f t="shared" si="15"/>
        <v>720932.72400000005</v>
      </c>
    </row>
    <row r="76" spans="2:15">
      <c r="B76" s="196" t="s">
        <v>117</v>
      </c>
      <c r="C76" s="809"/>
      <c r="D76" s="829" t="s">
        <v>635</v>
      </c>
      <c r="E76" s="810"/>
      <c r="F76" s="831">
        <f>'TK TA'!BF146</f>
        <v>22</v>
      </c>
      <c r="G76" s="830" t="s">
        <v>90</v>
      </c>
      <c r="H76" s="800"/>
      <c r="I76" s="338"/>
      <c r="J76" s="338">
        <f>3.13*CDL!R2*0.45</f>
        <v>483563.40299999993</v>
      </c>
      <c r="K76" s="777">
        <f>0.18*CDL!N185*0.45</f>
        <v>180233.18100000001</v>
      </c>
      <c r="L76" s="800">
        <f t="shared" si="12"/>
        <v>0</v>
      </c>
      <c r="M76" s="338">
        <f t="shared" si="13"/>
        <v>0</v>
      </c>
      <c r="N76" s="800">
        <f t="shared" si="14"/>
        <v>10638394.865999999</v>
      </c>
      <c r="O76" s="800">
        <f t="shared" si="15"/>
        <v>3965129.9820000003</v>
      </c>
    </row>
    <row r="77" spans="2:15" ht="30">
      <c r="B77" s="196" t="s">
        <v>672</v>
      </c>
      <c r="C77" s="809"/>
      <c r="D77" s="829" t="s">
        <v>1565</v>
      </c>
      <c r="E77" s="810"/>
      <c r="F77" s="831">
        <f>'TK TA'!BG146</f>
        <v>2</v>
      </c>
      <c r="G77" s="830" t="s">
        <v>87</v>
      </c>
      <c r="H77" s="800"/>
      <c r="I77" s="338"/>
      <c r="J77" s="338">
        <f>2.216*CDL!R2*1.7*0.45</f>
        <v>582006.40632000007</v>
      </c>
      <c r="K77" s="790"/>
      <c r="L77" s="800">
        <f t="shared" si="12"/>
        <v>0</v>
      </c>
      <c r="M77" s="338">
        <f t="shared" si="13"/>
        <v>0</v>
      </c>
      <c r="N77" s="800">
        <f t="shared" si="14"/>
        <v>1164012.8126400001</v>
      </c>
      <c r="O77" s="800">
        <f t="shared" si="15"/>
        <v>0</v>
      </c>
    </row>
    <row r="78" spans="2:15" ht="30">
      <c r="B78" s="196" t="s">
        <v>272</v>
      </c>
      <c r="C78" s="809"/>
      <c r="D78" s="829" t="s">
        <v>1566</v>
      </c>
      <c r="E78" s="810"/>
      <c r="F78" s="831">
        <f>'TK TA'!BH146</f>
        <v>9</v>
      </c>
      <c r="G78" s="830" t="s">
        <v>87</v>
      </c>
      <c r="H78" s="800"/>
      <c r="I78" s="338"/>
      <c r="J78" s="338">
        <f>2.421*CDL!R2*1.5*0.45</f>
        <v>561041.69264999998</v>
      </c>
      <c r="K78" s="790"/>
      <c r="L78" s="800">
        <f t="shared" si="12"/>
        <v>0</v>
      </c>
      <c r="M78" s="338">
        <f t="shared" si="13"/>
        <v>0</v>
      </c>
      <c r="N78" s="800">
        <f t="shared" si="14"/>
        <v>5049375.2338499995</v>
      </c>
      <c r="O78" s="800">
        <f t="shared" si="15"/>
        <v>0</v>
      </c>
    </row>
    <row r="79" spans="2:15" ht="30">
      <c r="B79" s="196" t="s">
        <v>671</v>
      </c>
      <c r="C79" s="809"/>
      <c r="D79" s="829" t="s">
        <v>1567</v>
      </c>
      <c r="E79" s="810"/>
      <c r="F79" s="831">
        <f>'TK TA'!BI146</f>
        <v>1</v>
      </c>
      <c r="G79" s="830" t="s">
        <v>87</v>
      </c>
      <c r="H79" s="800"/>
      <c r="I79" s="338"/>
      <c r="J79" s="338">
        <f>1.351*CDL!R2*1.5*0.45</f>
        <v>313080.26715000003</v>
      </c>
      <c r="K79" s="790"/>
      <c r="L79" s="800">
        <f t="shared" si="12"/>
        <v>0</v>
      </c>
      <c r="M79" s="338">
        <f t="shared" si="13"/>
        <v>0</v>
      </c>
      <c r="N79" s="800">
        <f t="shared" si="14"/>
        <v>313080.26715000003</v>
      </c>
      <c r="O79" s="800">
        <f t="shared" si="15"/>
        <v>0</v>
      </c>
    </row>
    <row r="80" spans="2:15" ht="30">
      <c r="B80" s="196" t="s">
        <v>671</v>
      </c>
      <c r="C80" s="809"/>
      <c r="D80" s="829" t="s">
        <v>1568</v>
      </c>
      <c r="E80" s="810"/>
      <c r="F80" s="831">
        <f>'TK TA'!BJ146</f>
        <v>45</v>
      </c>
      <c r="G80" s="830" t="s">
        <v>87</v>
      </c>
      <c r="H80" s="800"/>
      <c r="I80" s="338"/>
      <c r="J80" s="338">
        <f>1.197*CDL!R2*1.5*0.45</f>
        <v>277392.36105000001</v>
      </c>
      <c r="K80" s="790"/>
      <c r="L80" s="800">
        <f t="shared" si="12"/>
        <v>0</v>
      </c>
      <c r="M80" s="338">
        <f t="shared" si="13"/>
        <v>0</v>
      </c>
      <c r="N80" s="800">
        <f t="shared" si="14"/>
        <v>12482656.24725</v>
      </c>
      <c r="O80" s="800">
        <f t="shared" si="15"/>
        <v>0</v>
      </c>
    </row>
    <row r="81" spans="2:15" ht="30">
      <c r="B81" s="196" t="s">
        <v>671</v>
      </c>
      <c r="C81" s="809"/>
      <c r="D81" s="829" t="s">
        <v>1569</v>
      </c>
      <c r="E81" s="810"/>
      <c r="F81" s="831">
        <f>'TK TA'!BK146</f>
        <v>4</v>
      </c>
      <c r="G81" s="830" t="s">
        <v>87</v>
      </c>
      <c r="H81" s="800"/>
      <c r="I81" s="338"/>
      <c r="J81" s="338">
        <f>1.656*CDL!R2*1.5*0.45</f>
        <v>383760.86040000001</v>
      </c>
      <c r="K81" s="790"/>
      <c r="L81" s="800">
        <f t="shared" si="12"/>
        <v>0</v>
      </c>
      <c r="M81" s="338">
        <f t="shared" si="13"/>
        <v>0</v>
      </c>
      <c r="N81" s="800">
        <f t="shared" si="14"/>
        <v>1535043.4416</v>
      </c>
      <c r="O81" s="800">
        <f t="shared" si="15"/>
        <v>0</v>
      </c>
    </row>
    <row r="82" spans="2:15" ht="30">
      <c r="B82" s="196" t="s">
        <v>672</v>
      </c>
      <c r="C82" s="809"/>
      <c r="D82" s="829" t="s">
        <v>1570</v>
      </c>
      <c r="E82" s="810"/>
      <c r="F82" s="831">
        <f>'TK TA'!BL146</f>
        <v>2</v>
      </c>
      <c r="G82" s="830" t="s">
        <v>87</v>
      </c>
      <c r="H82" s="800"/>
      <c r="I82" s="338"/>
      <c r="J82" s="338">
        <f>2.251*CDL!R2*1.5*0.45</f>
        <v>521645.95214999997</v>
      </c>
      <c r="K82" s="790"/>
      <c r="L82" s="800">
        <f t="shared" si="12"/>
        <v>0</v>
      </c>
      <c r="M82" s="338">
        <f t="shared" si="13"/>
        <v>0</v>
      </c>
      <c r="N82" s="800">
        <f t="shared" si="14"/>
        <v>1043291.9042999999</v>
      </c>
      <c r="O82" s="800">
        <f t="shared" si="15"/>
        <v>0</v>
      </c>
    </row>
    <row r="83" spans="2:15">
      <c r="B83" s="196" t="s">
        <v>336</v>
      </c>
      <c r="C83" s="809"/>
      <c r="D83" s="829" t="s">
        <v>1003</v>
      </c>
      <c r="E83" s="810"/>
      <c r="F83" s="831">
        <f>'TK TA'!BN146</f>
        <v>42</v>
      </c>
      <c r="G83" s="830" t="s">
        <v>87</v>
      </c>
      <c r="H83" s="800"/>
      <c r="I83" s="338"/>
      <c r="J83" s="338">
        <f>0.37*CDL!R3*0.45</f>
        <v>61153.784999999996</v>
      </c>
      <c r="K83" s="790"/>
      <c r="L83" s="800">
        <f t="shared" si="12"/>
        <v>0</v>
      </c>
      <c r="M83" s="338">
        <f t="shared" si="13"/>
        <v>0</v>
      </c>
      <c r="N83" s="800">
        <f t="shared" si="14"/>
        <v>2568458.9699999997</v>
      </c>
      <c r="O83" s="800">
        <f t="shared" si="15"/>
        <v>0</v>
      </c>
    </row>
    <row r="84" spans="2:15">
      <c r="B84" s="196" t="s">
        <v>115</v>
      </c>
      <c r="C84" s="809"/>
      <c r="D84" s="829" t="s">
        <v>1004</v>
      </c>
      <c r="E84" s="810"/>
      <c r="F84" s="831">
        <f>'TK TA'!BO146</f>
        <v>117</v>
      </c>
      <c r="G84" s="830" t="s">
        <v>87</v>
      </c>
      <c r="H84" s="800"/>
      <c r="I84" s="338"/>
      <c r="J84" s="338">
        <f>3.34*CDL!R2/10*0.45</f>
        <v>51600.695399999997</v>
      </c>
      <c r="K84" s="790"/>
      <c r="L84" s="800">
        <f t="shared" si="12"/>
        <v>0</v>
      </c>
      <c r="M84" s="338">
        <f t="shared" si="13"/>
        <v>0</v>
      </c>
      <c r="N84" s="800">
        <f t="shared" si="14"/>
        <v>6037281.3618000001</v>
      </c>
      <c r="O84" s="800">
        <f t="shared" si="15"/>
        <v>0</v>
      </c>
    </row>
    <row r="85" spans="2:15" ht="30">
      <c r="B85" s="196" t="s">
        <v>619</v>
      </c>
      <c r="C85" s="809"/>
      <c r="D85" s="829" t="s">
        <v>1571</v>
      </c>
      <c r="E85" s="810"/>
      <c r="F85" s="831">
        <f>'TK TA'!BU146</f>
        <v>54</v>
      </c>
      <c r="G85" s="830" t="s">
        <v>87</v>
      </c>
      <c r="H85" s="800"/>
      <c r="I85" s="338"/>
      <c r="J85" s="338">
        <f>CDL!R2*1.26*1.5*0.45*0.3</f>
        <v>87597.587700000004</v>
      </c>
      <c r="K85" s="790"/>
      <c r="L85" s="800">
        <f t="shared" si="12"/>
        <v>0</v>
      </c>
      <c r="M85" s="338">
        <f t="shared" si="13"/>
        <v>0</v>
      </c>
      <c r="N85" s="800">
        <f t="shared" si="14"/>
        <v>4730269.7357999999</v>
      </c>
      <c r="O85" s="800">
        <f t="shared" si="15"/>
        <v>0</v>
      </c>
    </row>
    <row r="86" spans="2:15" ht="30">
      <c r="B86" s="196"/>
      <c r="C86" s="809"/>
      <c r="D86" s="829" t="s">
        <v>1572</v>
      </c>
      <c r="E86" s="810"/>
      <c r="F86" s="831"/>
      <c r="G86" s="830" t="s">
        <v>99</v>
      </c>
      <c r="H86" s="800"/>
      <c r="I86" s="338"/>
      <c r="J86" s="338"/>
      <c r="K86" s="790"/>
      <c r="L86" s="800">
        <f t="shared" si="12"/>
        <v>0</v>
      </c>
      <c r="M86" s="338">
        <f t="shared" si="13"/>
        <v>0</v>
      </c>
      <c r="N86" s="800">
        <f t="shared" si="14"/>
        <v>0</v>
      </c>
      <c r="O86" s="800">
        <f t="shared" si="15"/>
        <v>0</v>
      </c>
    </row>
    <row r="87" spans="2:15" ht="30">
      <c r="B87" s="196"/>
      <c r="C87" s="809"/>
      <c r="D87" s="829" t="s">
        <v>1573</v>
      </c>
      <c r="E87" s="810"/>
      <c r="F87" s="831"/>
      <c r="G87" s="830" t="s">
        <v>99</v>
      </c>
      <c r="H87" s="800"/>
      <c r="I87" s="338"/>
      <c r="J87" s="338"/>
      <c r="K87" s="790"/>
      <c r="L87" s="800">
        <f t="shared" si="12"/>
        <v>0</v>
      </c>
      <c r="M87" s="338">
        <f t="shared" si="13"/>
        <v>0</v>
      </c>
      <c r="N87" s="800">
        <f t="shared" si="14"/>
        <v>0</v>
      </c>
      <c r="O87" s="800">
        <f t="shared" si="15"/>
        <v>0</v>
      </c>
    </row>
    <row r="88" spans="2:15">
      <c r="B88" s="196"/>
      <c r="C88" s="809"/>
      <c r="D88" s="829" t="s">
        <v>1574</v>
      </c>
      <c r="E88" s="810"/>
      <c r="F88" s="831"/>
      <c r="G88" s="830" t="s">
        <v>86</v>
      </c>
      <c r="H88" s="800"/>
      <c r="I88" s="338"/>
      <c r="J88" s="338"/>
      <c r="K88" s="790"/>
      <c r="L88" s="800">
        <f t="shared" si="12"/>
        <v>0</v>
      </c>
      <c r="M88" s="338">
        <f t="shared" si="13"/>
        <v>0</v>
      </c>
      <c r="N88" s="800">
        <f t="shared" si="14"/>
        <v>0</v>
      </c>
      <c r="O88" s="800">
        <f t="shared" si="15"/>
        <v>0</v>
      </c>
    </row>
    <row r="89" spans="2:15">
      <c r="B89" s="196"/>
      <c r="C89" s="809"/>
      <c r="D89" s="829" t="s">
        <v>1575</v>
      </c>
      <c r="E89" s="810"/>
      <c r="F89" s="831"/>
      <c r="G89" s="830" t="s">
        <v>86</v>
      </c>
      <c r="H89" s="800"/>
      <c r="I89" s="338"/>
      <c r="J89" s="338"/>
      <c r="K89" s="790"/>
      <c r="L89" s="800">
        <f t="shared" si="12"/>
        <v>0</v>
      </c>
      <c r="M89" s="338">
        <f t="shared" si="13"/>
        <v>0</v>
      </c>
      <c r="N89" s="800">
        <f t="shared" si="14"/>
        <v>0</v>
      </c>
      <c r="O89" s="800">
        <f t="shared" si="15"/>
        <v>0</v>
      </c>
    </row>
    <row r="90" spans="2:15">
      <c r="B90" s="196"/>
      <c r="C90" s="809"/>
      <c r="D90" s="829" t="s">
        <v>1576</v>
      </c>
      <c r="E90" s="810"/>
      <c r="F90" s="831"/>
      <c r="G90" s="830" t="s">
        <v>86</v>
      </c>
      <c r="H90" s="800"/>
      <c r="I90" s="338"/>
      <c r="J90" s="338"/>
      <c r="K90" s="790"/>
      <c r="L90" s="800">
        <f t="shared" si="12"/>
        <v>0</v>
      </c>
      <c r="M90" s="338">
        <f t="shared" si="13"/>
        <v>0</v>
      </c>
      <c r="N90" s="800">
        <f t="shared" si="14"/>
        <v>0</v>
      </c>
      <c r="O90" s="800">
        <f t="shared" si="15"/>
        <v>0</v>
      </c>
    </row>
    <row r="91" spans="2:15">
      <c r="B91" s="196"/>
      <c r="C91" s="809"/>
      <c r="D91" s="829" t="s">
        <v>1577</v>
      </c>
      <c r="E91" s="810"/>
      <c r="F91" s="831"/>
      <c r="G91" s="830" t="s">
        <v>86</v>
      </c>
      <c r="H91" s="800"/>
      <c r="I91" s="338"/>
      <c r="J91" s="338"/>
      <c r="K91" s="790"/>
      <c r="L91" s="800">
        <f t="shared" si="12"/>
        <v>0</v>
      </c>
      <c r="M91" s="338">
        <f t="shared" si="13"/>
        <v>0</v>
      </c>
      <c r="N91" s="800">
        <f t="shared" si="14"/>
        <v>0</v>
      </c>
      <c r="O91" s="800">
        <f t="shared" si="15"/>
        <v>0</v>
      </c>
    </row>
    <row r="92" spans="2:15">
      <c r="B92" s="196"/>
      <c r="C92" s="809"/>
      <c r="D92" s="829" t="s">
        <v>1578</v>
      </c>
      <c r="E92" s="810"/>
      <c r="F92" s="831"/>
      <c r="G92" s="830" t="s">
        <v>86</v>
      </c>
      <c r="H92" s="800"/>
      <c r="I92" s="338"/>
      <c r="J92" s="338"/>
      <c r="K92" s="790"/>
      <c r="L92" s="800">
        <f t="shared" si="12"/>
        <v>0</v>
      </c>
      <c r="M92" s="338">
        <f t="shared" si="13"/>
        <v>0</v>
      </c>
      <c r="N92" s="800">
        <f t="shared" si="14"/>
        <v>0</v>
      </c>
      <c r="O92" s="800">
        <f t="shared" si="15"/>
        <v>0</v>
      </c>
    </row>
    <row r="93" spans="2:15">
      <c r="B93" s="196"/>
      <c r="C93" s="809"/>
      <c r="D93" s="829" t="s">
        <v>1579</v>
      </c>
      <c r="E93" s="810"/>
      <c r="F93" s="831"/>
      <c r="G93" s="830" t="s">
        <v>86</v>
      </c>
      <c r="H93" s="800"/>
      <c r="I93" s="338"/>
      <c r="J93" s="338"/>
      <c r="K93" s="790"/>
      <c r="L93" s="800">
        <f t="shared" si="12"/>
        <v>0</v>
      </c>
      <c r="M93" s="338">
        <f t="shared" si="13"/>
        <v>0</v>
      </c>
      <c r="N93" s="800">
        <f t="shared" si="14"/>
        <v>0</v>
      </c>
      <c r="O93" s="800">
        <f t="shared" si="15"/>
        <v>0</v>
      </c>
    </row>
    <row r="94" spans="2:15" ht="42" customHeight="1">
      <c r="B94" s="814"/>
      <c r="C94" s="821"/>
      <c r="D94" s="815" t="s">
        <v>1580</v>
      </c>
      <c r="E94" s="822"/>
      <c r="F94" s="817"/>
      <c r="G94" s="830" t="s">
        <v>86</v>
      </c>
      <c r="H94" s="818"/>
      <c r="I94" s="786"/>
      <c r="J94" s="786"/>
      <c r="K94" s="820"/>
      <c r="L94" s="818">
        <f t="shared" si="12"/>
        <v>0</v>
      </c>
      <c r="M94" s="786">
        <f t="shared" si="13"/>
        <v>0</v>
      </c>
      <c r="N94" s="818">
        <f t="shared" si="14"/>
        <v>0</v>
      </c>
      <c r="O94" s="818">
        <f t="shared" si="15"/>
        <v>0</v>
      </c>
    </row>
    <row r="95" spans="2:15" ht="42" customHeight="1">
      <c r="B95" s="814"/>
      <c r="C95" s="821"/>
      <c r="D95" s="815" t="s">
        <v>1581</v>
      </c>
      <c r="E95" s="822"/>
      <c r="F95" s="817"/>
      <c r="G95" s="830" t="s">
        <v>86</v>
      </c>
      <c r="H95" s="818"/>
      <c r="I95" s="786"/>
      <c r="J95" s="786"/>
      <c r="K95" s="820"/>
      <c r="L95" s="818">
        <f t="shared" si="12"/>
        <v>0</v>
      </c>
      <c r="M95" s="786">
        <f t="shared" si="13"/>
        <v>0</v>
      </c>
      <c r="N95" s="818">
        <f t="shared" si="14"/>
        <v>0</v>
      </c>
      <c r="O95" s="818">
        <f t="shared" si="15"/>
        <v>0</v>
      </c>
    </row>
    <row r="96" spans="2:15" ht="42" customHeight="1">
      <c r="B96" s="814"/>
      <c r="C96" s="821"/>
      <c r="D96" s="815" t="s">
        <v>1582</v>
      </c>
      <c r="E96" s="822"/>
      <c r="F96" s="817"/>
      <c r="G96" s="830" t="s">
        <v>86</v>
      </c>
      <c r="H96" s="818"/>
      <c r="I96" s="786"/>
      <c r="J96" s="786"/>
      <c r="K96" s="820"/>
      <c r="L96" s="818">
        <f t="shared" si="12"/>
        <v>0</v>
      </c>
      <c r="M96" s="786">
        <f t="shared" si="13"/>
        <v>0</v>
      </c>
      <c r="N96" s="818">
        <f t="shared" si="14"/>
        <v>0</v>
      </c>
      <c r="O96" s="818">
        <f t="shared" si="15"/>
        <v>0</v>
      </c>
    </row>
    <row r="97" spans="2:15" ht="42" customHeight="1">
      <c r="B97" s="814"/>
      <c r="C97" s="821"/>
      <c r="D97" s="815" t="s">
        <v>1583</v>
      </c>
      <c r="E97" s="822"/>
      <c r="F97" s="817"/>
      <c r="G97" s="830" t="s">
        <v>86</v>
      </c>
      <c r="H97" s="818"/>
      <c r="I97" s="786"/>
      <c r="J97" s="786"/>
      <c r="K97" s="820"/>
      <c r="L97" s="818">
        <f t="shared" si="12"/>
        <v>0</v>
      </c>
      <c r="M97" s="786">
        <f t="shared" si="13"/>
        <v>0</v>
      </c>
      <c r="N97" s="818">
        <f t="shared" si="14"/>
        <v>0</v>
      </c>
      <c r="O97" s="818">
        <f t="shared" si="15"/>
        <v>0</v>
      </c>
    </row>
    <row r="98" spans="2:15">
      <c r="B98" s="834" t="s">
        <v>505</v>
      </c>
      <c r="C98" s="856"/>
      <c r="D98" s="835"/>
      <c r="E98" s="865"/>
      <c r="F98" s="781"/>
      <c r="G98" s="832"/>
      <c r="H98" s="208"/>
      <c r="I98" s="882"/>
      <c r="J98" s="833"/>
      <c r="K98" s="833"/>
      <c r="L98" s="806">
        <f>SUM(L99:L104)</f>
        <v>0</v>
      </c>
      <c r="M98" s="806">
        <f>SUM(M99:M104)</f>
        <v>142807500</v>
      </c>
      <c r="N98" s="806">
        <f>SUM(N99:N104)</f>
        <v>37292613.030000001</v>
      </c>
      <c r="O98" s="806">
        <f>SUM(O99:O104)</f>
        <v>5706488.5236</v>
      </c>
    </row>
    <row r="99" spans="2:15" ht="30">
      <c r="B99" s="880"/>
      <c r="C99" s="881"/>
      <c r="D99" s="204" t="s">
        <v>719</v>
      </c>
      <c r="E99" s="801"/>
      <c r="F99" s="789">
        <f>'TK TA'!AT146</f>
        <v>54</v>
      </c>
      <c r="G99" s="205" t="s">
        <v>87</v>
      </c>
      <c r="H99" s="213"/>
      <c r="I99" s="883">
        <f>'Gia VT'!D46</f>
        <v>1123700</v>
      </c>
      <c r="J99" s="788"/>
      <c r="K99" s="790"/>
      <c r="L99" s="800">
        <f t="shared" ref="L99:L104" si="16">+H99*F99</f>
        <v>0</v>
      </c>
      <c r="M99" s="338">
        <f t="shared" ref="M99:M104" si="17">I99*F99</f>
        <v>60679800</v>
      </c>
      <c r="N99" s="800">
        <f t="shared" ref="N99:N104" si="18">J99*F99</f>
        <v>0</v>
      </c>
      <c r="O99" s="800">
        <f t="shared" ref="O99:O104" si="19">+K99*F99</f>
        <v>0</v>
      </c>
    </row>
    <row r="100" spans="2:15">
      <c r="B100" s="196" t="s">
        <v>974</v>
      </c>
      <c r="C100" s="809"/>
      <c r="D100" s="204" t="s">
        <v>1156</v>
      </c>
      <c r="E100" s="801"/>
      <c r="F100" s="789">
        <f>F99</f>
        <v>54</v>
      </c>
      <c r="G100" s="205" t="s">
        <v>51</v>
      </c>
      <c r="H100" s="788"/>
      <c r="I100" s="338"/>
      <c r="J100" s="788">
        <f>1.85*CDL!R3*0.6/3</f>
        <v>135897.29999999999</v>
      </c>
      <c r="K100" s="790"/>
      <c r="L100" s="800">
        <f t="shared" si="16"/>
        <v>0</v>
      </c>
      <c r="M100" s="338">
        <f t="shared" si="17"/>
        <v>0</v>
      </c>
      <c r="N100" s="800">
        <f t="shared" si="18"/>
        <v>7338454.1999999993</v>
      </c>
      <c r="O100" s="800">
        <f t="shared" si="19"/>
        <v>0</v>
      </c>
    </row>
    <row r="101" spans="2:15">
      <c r="B101" s="196"/>
      <c r="C101" s="809"/>
      <c r="D101" s="204" t="s">
        <v>703</v>
      </c>
      <c r="E101" s="801"/>
      <c r="F101" s="789">
        <f>'TK TA'!AU146</f>
        <v>9</v>
      </c>
      <c r="G101" s="205" t="s">
        <v>87</v>
      </c>
      <c r="H101" s="788"/>
      <c r="I101" s="776">
        <f>'Gia VT'!D43</f>
        <v>2945300</v>
      </c>
      <c r="J101" s="788"/>
      <c r="K101" s="790"/>
      <c r="L101" s="800">
        <f t="shared" si="16"/>
        <v>0</v>
      </c>
      <c r="M101" s="338">
        <f t="shared" si="17"/>
        <v>26507700</v>
      </c>
      <c r="N101" s="800">
        <f t="shared" si="18"/>
        <v>0</v>
      </c>
      <c r="O101" s="800">
        <f t="shared" si="19"/>
        <v>0</v>
      </c>
    </row>
    <row r="102" spans="2:15">
      <c r="B102" s="205" t="s">
        <v>976</v>
      </c>
      <c r="C102" s="758"/>
      <c r="D102" s="791" t="s">
        <v>1157</v>
      </c>
      <c r="E102" s="863"/>
      <c r="F102" s="792">
        <f>F101</f>
        <v>9</v>
      </c>
      <c r="G102" s="205" t="s">
        <v>51</v>
      </c>
      <c r="H102" s="788"/>
      <c r="I102" s="338"/>
      <c r="J102" s="800">
        <f>2.81*CDL!R4</f>
        <v>1109413.29</v>
      </c>
      <c r="K102" s="790">
        <f>+(0.12*CDL!N214+0.12*CDL!N214*3%)</f>
        <v>211351.42679999999</v>
      </c>
      <c r="L102" s="800">
        <f t="shared" si="16"/>
        <v>0</v>
      </c>
      <c r="M102" s="338">
        <f t="shared" si="17"/>
        <v>0</v>
      </c>
      <c r="N102" s="800">
        <f t="shared" si="18"/>
        <v>9984719.6099999994</v>
      </c>
      <c r="O102" s="800">
        <f t="shared" si="19"/>
        <v>1902162.8411999999</v>
      </c>
    </row>
    <row r="103" spans="2:15" ht="45">
      <c r="B103" s="196"/>
      <c r="C103" s="809"/>
      <c r="D103" s="204" t="s">
        <v>975</v>
      </c>
      <c r="E103" s="801"/>
      <c r="F103" s="789">
        <f>'TK TA'!AV146</f>
        <v>18</v>
      </c>
      <c r="G103" s="205" t="s">
        <v>87</v>
      </c>
      <c r="H103" s="788"/>
      <c r="I103" s="776">
        <f>'Gia VT'!D45</f>
        <v>3090000</v>
      </c>
      <c r="J103" s="788"/>
      <c r="K103" s="790"/>
      <c r="L103" s="800">
        <f t="shared" si="16"/>
        <v>0</v>
      </c>
      <c r="M103" s="338">
        <f t="shared" si="17"/>
        <v>55620000</v>
      </c>
      <c r="N103" s="800">
        <f t="shared" si="18"/>
        <v>0</v>
      </c>
      <c r="O103" s="800">
        <f t="shared" si="19"/>
        <v>0</v>
      </c>
    </row>
    <row r="104" spans="2:15">
      <c r="B104" s="205" t="s">
        <v>976</v>
      </c>
      <c r="C104" s="758"/>
      <c r="D104" s="791" t="s">
        <v>1158</v>
      </c>
      <c r="E104" s="863"/>
      <c r="F104" s="792">
        <f>F103</f>
        <v>18</v>
      </c>
      <c r="G104" s="205" t="s">
        <v>51</v>
      </c>
      <c r="H104" s="788"/>
      <c r="I104" s="338"/>
      <c r="J104" s="800">
        <f>2.81*CDL!R4</f>
        <v>1109413.29</v>
      </c>
      <c r="K104" s="790">
        <f>+(0.12*CDL!N214+0.12*CDL!N214*3%)</f>
        <v>211351.42679999999</v>
      </c>
      <c r="L104" s="800">
        <f t="shared" si="16"/>
        <v>0</v>
      </c>
      <c r="M104" s="338">
        <f t="shared" si="17"/>
        <v>0</v>
      </c>
      <c r="N104" s="800">
        <f t="shared" si="18"/>
        <v>19969439.219999999</v>
      </c>
      <c r="O104" s="800">
        <f t="shared" si="19"/>
        <v>3804325.6823999998</v>
      </c>
    </row>
    <row r="105" spans="2:15">
      <c r="B105" s="208" t="s">
        <v>286</v>
      </c>
      <c r="C105" s="849"/>
      <c r="D105" s="197"/>
      <c r="E105" s="857"/>
      <c r="F105" s="106"/>
      <c r="G105" s="106"/>
      <c r="H105" s="208"/>
      <c r="I105" s="208"/>
      <c r="J105" s="208"/>
      <c r="K105" s="208"/>
      <c r="L105" s="208"/>
      <c r="M105" s="208"/>
      <c r="N105" s="208"/>
      <c r="O105" s="208"/>
    </row>
    <row r="106" spans="2:15">
      <c r="B106" s="208" t="s">
        <v>287</v>
      </c>
      <c r="C106" s="849"/>
      <c r="D106" s="197"/>
      <c r="E106" s="857"/>
      <c r="F106" s="106"/>
      <c r="G106" s="106"/>
      <c r="H106" s="208"/>
      <c r="I106" s="208"/>
      <c r="J106" s="208"/>
      <c r="K106" s="208"/>
      <c r="L106" s="208"/>
      <c r="M106" s="208"/>
      <c r="N106" s="208"/>
      <c r="O106" s="208"/>
    </row>
    <row r="107" spans="2:15">
      <c r="B107" s="208" t="s">
        <v>40</v>
      </c>
      <c r="C107" s="849"/>
      <c r="D107" s="197" t="s">
        <v>162</v>
      </c>
      <c r="E107" s="857"/>
      <c r="F107" s="199"/>
      <c r="G107" s="198"/>
      <c r="H107" s="355"/>
      <c r="I107" s="355"/>
      <c r="J107" s="200"/>
      <c r="K107" s="200"/>
      <c r="L107" s="357"/>
      <c r="M107" s="202"/>
      <c r="N107" s="357"/>
      <c r="O107" s="343"/>
    </row>
    <row r="108" spans="2:15">
      <c r="B108" s="210">
        <v>1</v>
      </c>
      <c r="C108" s="874"/>
      <c r="D108" s="204" t="s">
        <v>878</v>
      </c>
      <c r="E108" s="801"/>
      <c r="F108" s="199">
        <v>9</v>
      </c>
      <c r="G108" s="198" t="s">
        <v>591</v>
      </c>
      <c r="H108" s="355">
        <v>840590.88351000007</v>
      </c>
      <c r="I108" s="355">
        <v>0</v>
      </c>
      <c r="J108" s="355">
        <v>463855.2753000001</v>
      </c>
      <c r="K108" s="355">
        <v>46446.081385999998</v>
      </c>
      <c r="L108" s="202">
        <v>7565317.9515900007</v>
      </c>
      <c r="M108" s="202">
        <f t="shared" ref="M108" si="20">I108*F108</f>
        <v>0</v>
      </c>
      <c r="N108" s="202">
        <f t="shared" ref="N108" si="21">J108*F108</f>
        <v>4174697.4777000006</v>
      </c>
      <c r="O108" s="202">
        <f>F108*K108</f>
        <v>418014.73247399996</v>
      </c>
    </row>
    <row r="109" spans="2:15">
      <c r="B109" s="106" t="s">
        <v>41</v>
      </c>
      <c r="C109" s="850"/>
      <c r="D109" s="197" t="s">
        <v>674</v>
      </c>
      <c r="E109" s="857"/>
      <c r="F109" s="199"/>
      <c r="G109" s="198"/>
      <c r="H109" s="355"/>
      <c r="I109" s="355"/>
      <c r="J109" s="355"/>
      <c r="K109" s="355"/>
      <c r="L109" s="202"/>
      <c r="M109" s="202"/>
      <c r="N109" s="202"/>
      <c r="O109" s="202"/>
    </row>
    <row r="110" spans="2:15">
      <c r="B110" s="205">
        <v>1</v>
      </c>
      <c r="C110" s="758"/>
      <c r="D110" s="204" t="s">
        <v>1025</v>
      </c>
      <c r="E110" s="801"/>
      <c r="F110" s="199">
        <v>7</v>
      </c>
      <c r="G110" s="198" t="s">
        <v>87</v>
      </c>
      <c r="H110" s="355">
        <v>0</v>
      </c>
      <c r="I110" s="355">
        <v>781308.8</v>
      </c>
      <c r="J110" s="355">
        <v>203590.13800000001</v>
      </c>
      <c r="K110" s="355">
        <v>2005.4749999999999</v>
      </c>
      <c r="L110" s="202">
        <v>0</v>
      </c>
      <c r="M110" s="202">
        <f t="shared" ref="M110" si="22">I110*F110</f>
        <v>5469161.6000000006</v>
      </c>
      <c r="N110" s="202">
        <f t="shared" ref="N110" si="23">J110*F110</f>
        <v>1425130.966</v>
      </c>
      <c r="O110" s="202">
        <f>F110*K110</f>
        <v>14038.324999999999</v>
      </c>
    </row>
    <row r="111" spans="2:15">
      <c r="B111" s="106" t="s">
        <v>45</v>
      </c>
      <c r="C111" s="850"/>
      <c r="D111" s="197" t="s">
        <v>604</v>
      </c>
      <c r="E111" s="857"/>
      <c r="F111" s="354"/>
      <c r="G111" s="353"/>
      <c r="H111" s="356"/>
      <c r="I111" s="356"/>
      <c r="J111" s="356"/>
      <c r="K111" s="356"/>
      <c r="L111" s="202"/>
      <c r="M111" s="202"/>
      <c r="N111" s="202"/>
      <c r="O111" s="202"/>
    </row>
    <row r="112" spans="2:15">
      <c r="B112" s="210">
        <v>1</v>
      </c>
      <c r="C112" s="874"/>
      <c r="D112" s="204" t="s">
        <v>955</v>
      </c>
      <c r="E112" s="801"/>
      <c r="F112" s="199">
        <v>9</v>
      </c>
      <c r="G112" s="198" t="s">
        <v>90</v>
      </c>
      <c r="H112" s="355">
        <v>0</v>
      </c>
      <c r="I112" s="355">
        <v>2658160</v>
      </c>
      <c r="J112" s="355">
        <v>515491.97700000007</v>
      </c>
      <c r="K112" s="355">
        <v>154199.49930000002</v>
      </c>
      <c r="L112" s="202">
        <v>0</v>
      </c>
      <c r="M112" s="202">
        <f t="shared" ref="M112" si="24">I112*F112</f>
        <v>23923440</v>
      </c>
      <c r="N112" s="202">
        <f t="shared" ref="N112" si="25">J112*F112</f>
        <v>4639427.7930000005</v>
      </c>
      <c r="O112" s="202">
        <f>F112*K112</f>
        <v>1387795.4937000002</v>
      </c>
    </row>
    <row r="113" spans="2:15">
      <c r="B113" s="208" t="s">
        <v>46</v>
      </c>
      <c r="C113" s="849"/>
      <c r="D113" s="780" t="s">
        <v>260</v>
      </c>
      <c r="E113" s="757"/>
      <c r="F113" s="205"/>
      <c r="G113" s="205"/>
      <c r="H113" s="210"/>
      <c r="I113" s="213"/>
      <c r="J113" s="777"/>
      <c r="K113" s="775"/>
      <c r="L113" s="807">
        <f>SUM(L114:L120)</f>
        <v>0</v>
      </c>
      <c r="M113" s="807">
        <f>SUM(M114:M120)</f>
        <v>28767278</v>
      </c>
      <c r="N113" s="807">
        <f>SUM(N114:N120)</f>
        <v>0</v>
      </c>
      <c r="O113" s="777">
        <f>SUM(O114:O120)</f>
        <v>0</v>
      </c>
    </row>
    <row r="114" spans="2:15" ht="28.5">
      <c r="B114" s="875" t="s">
        <v>253</v>
      </c>
      <c r="C114" s="876"/>
      <c r="D114" s="780" t="s">
        <v>1010</v>
      </c>
      <c r="E114" s="757"/>
      <c r="F114" s="781">
        <f>'TK HA AP'!F70</f>
        <v>4</v>
      </c>
      <c r="G114" s="106" t="s">
        <v>51</v>
      </c>
      <c r="H114" s="793"/>
      <c r="I114" s="833"/>
      <c r="J114" s="808"/>
      <c r="K114" s="793"/>
      <c r="L114" s="807">
        <f t="shared" ref="L114:L120" si="26">H114*F114</f>
        <v>0</v>
      </c>
      <c r="M114" s="807">
        <v>303200</v>
      </c>
      <c r="N114" s="807">
        <f t="shared" ref="N114:N120" si="27">J114*F114</f>
        <v>0</v>
      </c>
      <c r="O114" s="807">
        <f t="shared" ref="O114:O120" si="28">K114*F114</f>
        <v>0</v>
      </c>
    </row>
    <row r="115" spans="2:15">
      <c r="B115" s="875" t="s">
        <v>590</v>
      </c>
      <c r="C115" s="876"/>
      <c r="D115" s="780" t="s">
        <v>877</v>
      </c>
      <c r="E115" s="757"/>
      <c r="F115" s="781">
        <f>'TK HA AP'!G70</f>
        <v>7</v>
      </c>
      <c r="G115" s="106" t="s">
        <v>51</v>
      </c>
      <c r="H115" s="208"/>
      <c r="I115" s="209"/>
      <c r="J115" s="808"/>
      <c r="K115" s="793"/>
      <c r="L115" s="807">
        <f t="shared" si="26"/>
        <v>0</v>
      </c>
      <c r="M115" s="807">
        <v>315000</v>
      </c>
      <c r="N115" s="807">
        <f t="shared" si="27"/>
        <v>0</v>
      </c>
      <c r="O115" s="807">
        <f t="shared" si="28"/>
        <v>0</v>
      </c>
    </row>
    <row r="116" spans="2:15">
      <c r="B116" s="868" t="s">
        <v>558</v>
      </c>
      <c r="C116" s="869"/>
      <c r="D116" s="773" t="s">
        <v>879</v>
      </c>
      <c r="E116" s="859"/>
      <c r="F116" s="831">
        <f>'TK HA AP'!H70</f>
        <v>1</v>
      </c>
      <c r="G116" s="205" t="s">
        <v>1011</v>
      </c>
      <c r="H116" s="210"/>
      <c r="I116" s="867">
        <f>'Gia VT'!D291</f>
        <v>28100</v>
      </c>
      <c r="J116" s="777"/>
      <c r="K116" s="775"/>
      <c r="L116" s="807">
        <f t="shared" si="26"/>
        <v>0</v>
      </c>
      <c r="M116" s="338">
        <f>I116*F116</f>
        <v>28100</v>
      </c>
      <c r="N116" s="807">
        <f t="shared" si="27"/>
        <v>0</v>
      </c>
      <c r="O116" s="807">
        <f t="shared" si="28"/>
        <v>0</v>
      </c>
    </row>
    <row r="117" spans="2:15">
      <c r="B117" s="868" t="s">
        <v>647</v>
      </c>
      <c r="C117" s="869"/>
      <c r="D117" s="773" t="s">
        <v>881</v>
      </c>
      <c r="E117" s="859"/>
      <c r="F117" s="831">
        <f>'TK HA AP'!I70</f>
        <v>9</v>
      </c>
      <c r="G117" s="205" t="s">
        <v>86</v>
      </c>
      <c r="H117" s="210"/>
      <c r="I117" s="867">
        <f>'Gia VT'!D216</f>
        <v>37442</v>
      </c>
      <c r="J117" s="777"/>
      <c r="K117" s="775"/>
      <c r="L117" s="807">
        <f t="shared" si="26"/>
        <v>0</v>
      </c>
      <c r="M117" s="338">
        <f>I117*F117</f>
        <v>336978</v>
      </c>
      <c r="N117" s="807">
        <f t="shared" si="27"/>
        <v>0</v>
      </c>
      <c r="O117" s="807">
        <f t="shared" si="28"/>
        <v>0</v>
      </c>
    </row>
    <row r="118" spans="2:15">
      <c r="B118" s="868" t="s">
        <v>648</v>
      </c>
      <c r="C118" s="869"/>
      <c r="D118" s="773" t="s">
        <v>882</v>
      </c>
      <c r="E118" s="859"/>
      <c r="F118" s="831">
        <f>'TK HA AP'!J70</f>
        <v>187</v>
      </c>
      <c r="G118" s="205" t="s">
        <v>86</v>
      </c>
      <c r="H118" s="210"/>
      <c r="I118" s="867">
        <f>CDL!F245</f>
        <v>37000</v>
      </c>
      <c r="J118" s="777"/>
      <c r="K118" s="775"/>
      <c r="L118" s="807">
        <f t="shared" si="26"/>
        <v>0</v>
      </c>
      <c r="M118" s="338">
        <f>I118*F118</f>
        <v>6919000</v>
      </c>
      <c r="N118" s="807">
        <f t="shared" si="27"/>
        <v>0</v>
      </c>
      <c r="O118" s="807">
        <f t="shared" si="28"/>
        <v>0</v>
      </c>
    </row>
    <row r="119" spans="2:15">
      <c r="B119" s="772" t="s">
        <v>1013</v>
      </c>
      <c r="C119" s="852"/>
      <c r="D119" s="773" t="s">
        <v>883</v>
      </c>
      <c r="E119" s="859"/>
      <c r="F119" s="831">
        <f>'TK HA AP'!K70</f>
        <v>46</v>
      </c>
      <c r="G119" s="205" t="s">
        <v>86</v>
      </c>
      <c r="H119" s="775"/>
      <c r="I119" s="338">
        <f>'Gia VT'!D222</f>
        <v>62500</v>
      </c>
      <c r="J119" s="777"/>
      <c r="K119" s="775"/>
      <c r="L119" s="807">
        <f t="shared" si="26"/>
        <v>0</v>
      </c>
      <c r="M119" s="338">
        <f>I119*F119</f>
        <v>2875000</v>
      </c>
      <c r="N119" s="807">
        <f t="shared" si="27"/>
        <v>0</v>
      </c>
      <c r="O119" s="807">
        <f t="shared" si="28"/>
        <v>0</v>
      </c>
    </row>
    <row r="120" spans="2:15">
      <c r="B120" s="772" t="s">
        <v>649</v>
      </c>
      <c r="C120" s="852"/>
      <c r="D120" s="773" t="s">
        <v>884</v>
      </c>
      <c r="E120" s="859"/>
      <c r="F120" s="831">
        <f>'TK HA AP'!L70</f>
        <v>257</v>
      </c>
      <c r="G120" s="205" t="s">
        <v>86</v>
      </c>
      <c r="H120" s="775"/>
      <c r="I120" s="338">
        <f>'Gia VT'!D278</f>
        <v>70000</v>
      </c>
      <c r="J120" s="777"/>
      <c r="K120" s="775"/>
      <c r="L120" s="807">
        <f t="shared" si="26"/>
        <v>0</v>
      </c>
      <c r="M120" s="338">
        <f>I120*F120</f>
        <v>17990000</v>
      </c>
      <c r="N120" s="807">
        <f t="shared" si="27"/>
        <v>0</v>
      </c>
      <c r="O120" s="807">
        <f t="shared" si="28"/>
        <v>0</v>
      </c>
    </row>
    <row r="121" spans="2:15">
      <c r="B121" s="106" t="s">
        <v>639</v>
      </c>
      <c r="C121" s="850"/>
      <c r="D121" s="780" t="s">
        <v>271</v>
      </c>
      <c r="E121" s="757"/>
      <c r="F121" s="106"/>
      <c r="G121" s="106"/>
      <c r="H121" s="793"/>
      <c r="I121" s="833"/>
      <c r="J121" s="808"/>
      <c r="K121" s="793"/>
      <c r="L121" s="807">
        <f>SUM(L122:L128)</f>
        <v>0</v>
      </c>
      <c r="M121" s="807">
        <f>SUM(M122:M128)</f>
        <v>0</v>
      </c>
      <c r="N121" s="807">
        <f>SUM(N122:N128)</f>
        <v>3795895.4670000002</v>
      </c>
      <c r="O121" s="806">
        <f>SUM(O122:O128)</f>
        <v>1135469.0403000002</v>
      </c>
    </row>
    <row r="122" spans="2:15">
      <c r="B122" s="772" t="s">
        <v>228</v>
      </c>
      <c r="C122" s="852"/>
      <c r="D122" s="773" t="s">
        <v>1585</v>
      </c>
      <c r="E122" s="859"/>
      <c r="F122" s="831">
        <f>'TK HA AP'!M70</f>
        <v>9</v>
      </c>
      <c r="G122" s="205" t="s">
        <v>90</v>
      </c>
      <c r="H122" s="775"/>
      <c r="I122" s="788"/>
      <c r="J122" s="777">
        <f>2.73*CDL!R2*0.45</f>
        <v>421766.163</v>
      </c>
      <c r="K122" s="338">
        <f>0.126*CDL!N272*0.45</f>
        <v>126163.22670000001</v>
      </c>
      <c r="L122" s="338">
        <f t="shared" ref="L122:L128" si="29">H122*F122</f>
        <v>0</v>
      </c>
      <c r="M122" s="338">
        <f t="shared" ref="M122:M128" si="30">I122*F122</f>
        <v>0</v>
      </c>
      <c r="N122" s="338">
        <f t="shared" ref="N122:N128" si="31">J122*F122</f>
        <v>3795895.4670000002</v>
      </c>
      <c r="O122" s="338">
        <f t="shared" ref="O122:O128" si="32">K122*F122</f>
        <v>1135469.0403000002</v>
      </c>
    </row>
    <row r="123" spans="2:15" ht="30">
      <c r="B123" s="772"/>
      <c r="C123" s="852"/>
      <c r="D123" s="773" t="s">
        <v>1586</v>
      </c>
      <c r="E123" s="859"/>
      <c r="F123" s="831"/>
      <c r="G123" s="205" t="s">
        <v>86</v>
      </c>
      <c r="H123" s="775"/>
      <c r="I123" s="788"/>
      <c r="J123" s="777"/>
      <c r="K123" s="775"/>
      <c r="L123" s="338">
        <f t="shared" si="29"/>
        <v>0</v>
      </c>
      <c r="M123" s="338">
        <f t="shared" si="30"/>
        <v>0</v>
      </c>
      <c r="N123" s="338">
        <f t="shared" si="31"/>
        <v>0</v>
      </c>
      <c r="O123" s="338">
        <f t="shared" si="32"/>
        <v>0</v>
      </c>
    </row>
    <row r="124" spans="2:15">
      <c r="B124" s="772"/>
      <c r="C124" s="852"/>
      <c r="D124" s="773" t="s">
        <v>1587</v>
      </c>
      <c r="E124" s="859"/>
      <c r="F124" s="831"/>
      <c r="G124" s="205" t="s">
        <v>86</v>
      </c>
      <c r="H124" s="775"/>
      <c r="I124" s="788"/>
      <c r="J124" s="777"/>
      <c r="K124" s="775"/>
      <c r="L124" s="338">
        <f t="shared" si="29"/>
        <v>0</v>
      </c>
      <c r="M124" s="338">
        <f t="shared" si="30"/>
        <v>0</v>
      </c>
      <c r="N124" s="338">
        <f t="shared" si="31"/>
        <v>0</v>
      </c>
      <c r="O124" s="338">
        <f t="shared" si="32"/>
        <v>0</v>
      </c>
    </row>
    <row r="125" spans="2:15">
      <c r="B125" s="772"/>
      <c r="C125" s="852"/>
      <c r="D125" s="773" t="s">
        <v>1588</v>
      </c>
      <c r="E125" s="859"/>
      <c r="F125" s="831"/>
      <c r="G125" s="205" t="s">
        <v>86</v>
      </c>
      <c r="H125" s="775"/>
      <c r="I125" s="788"/>
      <c r="J125" s="777"/>
      <c r="K125" s="775"/>
      <c r="L125" s="338">
        <f t="shared" si="29"/>
        <v>0</v>
      </c>
      <c r="M125" s="338">
        <f t="shared" si="30"/>
        <v>0</v>
      </c>
      <c r="N125" s="338">
        <f t="shared" si="31"/>
        <v>0</v>
      </c>
      <c r="O125" s="338">
        <f t="shared" si="32"/>
        <v>0</v>
      </c>
    </row>
    <row r="126" spans="2:15">
      <c r="B126" s="772"/>
      <c r="C126" s="852"/>
      <c r="D126" s="773" t="s">
        <v>1589</v>
      </c>
      <c r="E126" s="859"/>
      <c r="F126" s="831"/>
      <c r="G126" s="205" t="s">
        <v>86</v>
      </c>
      <c r="H126" s="775"/>
      <c r="I126" s="788"/>
      <c r="J126" s="777"/>
      <c r="K126" s="775"/>
      <c r="L126" s="338">
        <f t="shared" si="29"/>
        <v>0</v>
      </c>
      <c r="M126" s="338">
        <f t="shared" si="30"/>
        <v>0</v>
      </c>
      <c r="N126" s="338">
        <f t="shared" si="31"/>
        <v>0</v>
      </c>
      <c r="O126" s="338">
        <f t="shared" si="32"/>
        <v>0</v>
      </c>
    </row>
    <row r="127" spans="2:15">
      <c r="B127" s="772"/>
      <c r="C127" s="852"/>
      <c r="D127" s="773" t="s">
        <v>1590</v>
      </c>
      <c r="E127" s="859"/>
      <c r="F127" s="831"/>
      <c r="G127" s="205" t="s">
        <v>86</v>
      </c>
      <c r="H127" s="775"/>
      <c r="I127" s="788"/>
      <c r="J127" s="777"/>
      <c r="K127" s="775"/>
      <c r="L127" s="338">
        <f t="shared" si="29"/>
        <v>0</v>
      </c>
      <c r="M127" s="338">
        <f t="shared" si="30"/>
        <v>0</v>
      </c>
      <c r="N127" s="338">
        <f t="shared" si="31"/>
        <v>0</v>
      </c>
      <c r="O127" s="338">
        <f t="shared" si="32"/>
        <v>0</v>
      </c>
    </row>
    <row r="128" spans="2:15" ht="30">
      <c r="B128" s="772"/>
      <c r="C128" s="852"/>
      <c r="D128" s="773" t="s">
        <v>1591</v>
      </c>
      <c r="E128" s="859"/>
      <c r="F128" s="831"/>
      <c r="G128" s="205" t="s">
        <v>86</v>
      </c>
      <c r="H128" s="775"/>
      <c r="I128" s="788"/>
      <c r="J128" s="777"/>
      <c r="K128" s="775"/>
      <c r="L128" s="338">
        <f t="shared" si="29"/>
        <v>0</v>
      </c>
      <c r="M128" s="338">
        <f t="shared" si="30"/>
        <v>0</v>
      </c>
      <c r="N128" s="338">
        <f t="shared" si="31"/>
        <v>0</v>
      </c>
      <c r="O128" s="338">
        <f t="shared" si="32"/>
        <v>0</v>
      </c>
    </row>
    <row r="129" spans="2:15">
      <c r="B129" s="32" t="s">
        <v>222</v>
      </c>
      <c r="M129" s="52"/>
      <c r="N129" s="113"/>
      <c r="O129" s="113"/>
    </row>
  </sheetData>
  <phoneticPr fontId="0" type="noConversion"/>
  <printOptions horizontalCentered="1"/>
  <pageMargins left="0.27559055118110198" right="0.196850393700787" top="0.26" bottom="0.28000000000000003" header="0.17" footer="0.118110236220472"/>
  <pageSetup paperSize="9" scale="80" firstPageNumber="4" orientation="landscape"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V52"/>
  <sheetViews>
    <sheetView zoomScaleSheetLayoutView="100" workbookViewId="0">
      <selection activeCell="F9" sqref="F9"/>
    </sheetView>
  </sheetViews>
  <sheetFormatPr defaultColWidth="9.33203125" defaultRowHeight="15"/>
  <cols>
    <col min="1" max="1" width="7.6640625" style="108" customWidth="1"/>
    <col min="2" max="2" width="17.83203125" style="108" customWidth="1"/>
    <col min="3" max="3" width="89.33203125" style="21" customWidth="1"/>
    <col min="4" max="4" width="11.5" style="108" customWidth="1"/>
    <col min="5" max="5" width="18.1640625" style="108" customWidth="1"/>
    <col min="6" max="6" width="18.1640625" style="109" customWidth="1"/>
    <col min="7" max="7" width="20.5" style="110" customWidth="1"/>
    <col min="8" max="16384" width="9.33203125" style="21"/>
  </cols>
  <sheetData>
    <row r="1" spans="1:256" ht="28.15" customHeight="1">
      <c r="A1" s="986" t="s">
        <v>230</v>
      </c>
      <c r="B1" s="986"/>
      <c r="C1" s="986"/>
      <c r="D1" s="986"/>
      <c r="E1" s="986"/>
      <c r="F1" s="986"/>
      <c r="G1" s="986"/>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c r="EB1" s="105"/>
      <c r="EC1" s="105"/>
      <c r="ED1" s="105"/>
      <c r="EE1" s="105"/>
      <c r="EF1" s="105"/>
      <c r="EG1" s="105"/>
      <c r="EH1" s="105"/>
      <c r="EI1" s="105"/>
      <c r="EJ1" s="105"/>
      <c r="EK1" s="105"/>
      <c r="EL1" s="105"/>
      <c r="EM1" s="105"/>
      <c r="EN1" s="105"/>
      <c r="EO1" s="105"/>
      <c r="EP1" s="105"/>
      <c r="EQ1" s="105"/>
      <c r="ER1" s="105"/>
      <c r="ES1" s="105"/>
      <c r="ET1" s="105"/>
      <c r="EU1" s="105"/>
      <c r="EV1" s="105"/>
      <c r="EW1" s="105"/>
      <c r="EX1" s="105"/>
      <c r="EY1" s="105"/>
      <c r="EZ1" s="105"/>
      <c r="FA1" s="105"/>
      <c r="FB1" s="105"/>
      <c r="FC1" s="105"/>
      <c r="FD1" s="105"/>
      <c r="FE1" s="105"/>
      <c r="FF1" s="105"/>
      <c r="FG1" s="105"/>
      <c r="FH1" s="105"/>
      <c r="FI1" s="105"/>
      <c r="FJ1" s="105"/>
      <c r="FK1" s="105"/>
      <c r="FL1" s="105"/>
      <c r="FM1" s="105"/>
      <c r="FN1" s="105"/>
      <c r="FO1" s="105"/>
      <c r="FP1" s="105"/>
      <c r="FQ1" s="105"/>
      <c r="FR1" s="105"/>
      <c r="FS1" s="105"/>
      <c r="FT1" s="105"/>
      <c r="FU1" s="105"/>
      <c r="FV1" s="105"/>
      <c r="FW1" s="105"/>
      <c r="FX1" s="105"/>
      <c r="FY1" s="105"/>
      <c r="FZ1" s="105"/>
      <c r="GA1" s="105"/>
      <c r="GB1" s="105"/>
      <c r="GC1" s="105"/>
      <c r="GD1" s="105"/>
      <c r="GE1" s="105"/>
      <c r="GF1" s="105"/>
      <c r="GG1" s="105"/>
      <c r="GH1" s="105"/>
      <c r="GI1" s="105"/>
      <c r="GJ1" s="105"/>
      <c r="GK1" s="105"/>
      <c r="GL1" s="105"/>
      <c r="GM1" s="105"/>
      <c r="GN1" s="105"/>
      <c r="GO1" s="105"/>
      <c r="GP1" s="105"/>
      <c r="GQ1" s="105"/>
      <c r="GR1" s="105"/>
      <c r="GS1" s="105"/>
      <c r="GT1" s="105"/>
      <c r="GU1" s="105"/>
      <c r="GV1" s="105"/>
      <c r="GW1" s="105"/>
      <c r="GX1" s="105"/>
      <c r="GY1" s="105"/>
      <c r="GZ1" s="105"/>
      <c r="HA1" s="105"/>
      <c r="HB1" s="105"/>
      <c r="HC1" s="105"/>
      <c r="HD1" s="105"/>
      <c r="HE1" s="105"/>
      <c r="HF1" s="105"/>
      <c r="HG1" s="105"/>
      <c r="HH1" s="105"/>
      <c r="HI1" s="105"/>
      <c r="HJ1" s="105"/>
      <c r="HK1" s="105"/>
      <c r="HL1" s="105"/>
      <c r="HM1" s="105"/>
      <c r="HN1" s="105"/>
      <c r="HO1" s="105"/>
      <c r="HP1" s="105"/>
      <c r="HQ1" s="105"/>
      <c r="HR1" s="105"/>
      <c r="HS1" s="105"/>
      <c r="HT1" s="105"/>
      <c r="HU1" s="105"/>
      <c r="HV1" s="105"/>
      <c r="HW1" s="105"/>
      <c r="HX1" s="105"/>
      <c r="HY1" s="105"/>
      <c r="HZ1" s="105"/>
      <c r="IA1" s="105"/>
      <c r="IB1" s="105"/>
      <c r="IC1" s="105"/>
      <c r="ID1" s="105"/>
      <c r="IE1" s="105"/>
      <c r="IF1" s="105"/>
      <c r="IG1" s="105"/>
      <c r="IH1" s="105"/>
      <c r="II1" s="105"/>
      <c r="IJ1" s="105"/>
      <c r="IK1" s="105"/>
      <c r="IL1" s="105"/>
      <c r="IM1" s="105"/>
      <c r="IN1" s="105"/>
      <c r="IO1" s="105"/>
      <c r="IP1" s="105"/>
      <c r="IQ1" s="105"/>
      <c r="IR1" s="105"/>
      <c r="IS1" s="105"/>
      <c r="IT1" s="105"/>
      <c r="IU1" s="105"/>
      <c r="IV1" s="105"/>
    </row>
    <row r="2" spans="1:256" ht="18" customHeight="1">
      <c r="A2" s="106" t="s">
        <v>231</v>
      </c>
      <c r="B2" s="106" t="s">
        <v>232</v>
      </c>
      <c r="C2" s="106" t="s">
        <v>233</v>
      </c>
      <c r="D2" s="106" t="s">
        <v>47</v>
      </c>
      <c r="E2" s="106" t="s">
        <v>234</v>
      </c>
      <c r="F2" s="107" t="s">
        <v>48</v>
      </c>
      <c r="G2" s="107" t="s">
        <v>84</v>
      </c>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row>
    <row r="3" spans="1:256" s="105" customFormat="1" ht="16.149999999999999" customHeight="1">
      <c r="A3" s="106">
        <v>1</v>
      </c>
      <c r="B3" s="106" t="s">
        <v>235</v>
      </c>
      <c r="C3" s="208" t="s">
        <v>225</v>
      </c>
      <c r="D3" s="106" t="s">
        <v>91</v>
      </c>
      <c r="E3" s="106"/>
      <c r="F3" s="209"/>
      <c r="G3" s="209">
        <f>SUM(G4:G5)</f>
        <v>50757.688999999998</v>
      </c>
    </row>
    <row r="4" spans="1:256" s="114" customFormat="1" ht="16.149999999999999" customHeight="1">
      <c r="A4" s="205"/>
      <c r="B4" s="205"/>
      <c r="C4" s="210" t="s">
        <v>302</v>
      </c>
      <c r="D4" s="205" t="s">
        <v>236</v>
      </c>
      <c r="E4" s="205">
        <v>9.5000000000000001E-2</v>
      </c>
      <c r="F4" s="211">
        <v>296787</v>
      </c>
      <c r="G4" s="211">
        <f>+F4*E4</f>
        <v>28194.764999999999</v>
      </c>
      <c r="I4" s="114" t="s">
        <v>480</v>
      </c>
    </row>
    <row r="5" spans="1:256" ht="16.149999999999999" customHeight="1">
      <c r="A5" s="205"/>
      <c r="B5" s="205"/>
      <c r="C5" s="210" t="s">
        <v>237</v>
      </c>
      <c r="D5" s="205" t="s">
        <v>236</v>
      </c>
      <c r="E5" s="205">
        <v>8.8999999999999996E-2</v>
      </c>
      <c r="F5" s="211">
        <v>253516</v>
      </c>
      <c r="G5" s="211">
        <f>+F5*E5</f>
        <v>22562.923999999999</v>
      </c>
    </row>
    <row r="6" spans="1:256" s="105" customFormat="1" ht="16.149999999999999" customHeight="1">
      <c r="A6" s="106">
        <v>2</v>
      </c>
      <c r="B6" s="106" t="s">
        <v>194</v>
      </c>
      <c r="C6" s="208" t="s">
        <v>238</v>
      </c>
      <c r="D6" s="106" t="s">
        <v>168</v>
      </c>
      <c r="E6" s="106"/>
      <c r="F6" s="212"/>
      <c r="G6" s="212">
        <f>SUM(G7)</f>
        <v>1657.95625</v>
      </c>
    </row>
    <row r="7" spans="1:256" s="114" customFormat="1" ht="16.149999999999999" customHeight="1">
      <c r="A7" s="205"/>
      <c r="B7" s="205"/>
      <c r="C7" s="210" t="s">
        <v>239</v>
      </c>
      <c r="D7" s="205" t="s">
        <v>236</v>
      </c>
      <c r="E7" s="205">
        <v>0.05</v>
      </c>
      <c r="F7" s="211">
        <v>331591.25</v>
      </c>
      <c r="G7" s="211">
        <f>+F7*E7/10</f>
        <v>1657.95625</v>
      </c>
      <c r="I7" s="114" t="s">
        <v>482</v>
      </c>
    </row>
    <row r="8" spans="1:256" s="105" customFormat="1" ht="16.149999999999999" customHeight="1">
      <c r="A8" s="106">
        <v>3</v>
      </c>
      <c r="B8" s="106" t="s">
        <v>274</v>
      </c>
      <c r="C8" s="208" t="s">
        <v>303</v>
      </c>
      <c r="D8" s="106" t="s">
        <v>90</v>
      </c>
      <c r="E8" s="106"/>
      <c r="F8" s="212"/>
      <c r="G8" s="212">
        <f>SUM(G9)</f>
        <v>392785.56</v>
      </c>
    </row>
    <row r="9" spans="1:256" s="114" customFormat="1" ht="16.149999999999999" customHeight="1">
      <c r="A9" s="205"/>
      <c r="B9" s="205"/>
      <c r="C9" s="210" t="s">
        <v>241</v>
      </c>
      <c r="D9" s="205" t="s">
        <v>236</v>
      </c>
      <c r="E9" s="205">
        <v>0.18</v>
      </c>
      <c r="F9" s="211">
        <v>2182142</v>
      </c>
      <c r="G9" s="211">
        <f>+F9*E9</f>
        <v>392785.56</v>
      </c>
      <c r="I9" s="114" t="s">
        <v>478</v>
      </c>
    </row>
    <row r="10" spans="1:256" s="105" customFormat="1" ht="16.149999999999999" customHeight="1">
      <c r="A10" s="106">
        <v>4</v>
      </c>
      <c r="B10" s="106" t="s">
        <v>117</v>
      </c>
      <c r="C10" s="208" t="s">
        <v>240</v>
      </c>
      <c r="D10" s="106" t="s">
        <v>90</v>
      </c>
      <c r="E10" s="106"/>
      <c r="F10" s="212"/>
      <c r="G10" s="212">
        <f>SUM(G11)</f>
        <v>392785.56</v>
      </c>
    </row>
    <row r="11" spans="1:256" s="114" customFormat="1" ht="16.149999999999999" customHeight="1">
      <c r="A11" s="205"/>
      <c r="B11" s="205"/>
      <c r="C11" s="210" t="s">
        <v>241</v>
      </c>
      <c r="D11" s="205" t="s">
        <v>236</v>
      </c>
      <c r="E11" s="205">
        <v>0.18</v>
      </c>
      <c r="F11" s="211">
        <f>+F9</f>
        <v>2182142</v>
      </c>
      <c r="G11" s="211">
        <f>+F11*E11</f>
        <v>392785.56</v>
      </c>
    </row>
    <row r="12" spans="1:256" ht="16.149999999999999" customHeight="1">
      <c r="A12" s="106">
        <v>5</v>
      </c>
      <c r="B12" s="106" t="s">
        <v>229</v>
      </c>
      <c r="C12" s="208" t="s">
        <v>242</v>
      </c>
      <c r="D12" s="106" t="s">
        <v>90</v>
      </c>
      <c r="E12" s="106"/>
      <c r="F12" s="212"/>
      <c r="G12" s="212">
        <f>SUM(G13)</f>
        <v>274949.89199999999</v>
      </c>
    </row>
    <row r="13" spans="1:256" s="114" customFormat="1" ht="16.149999999999999" customHeight="1">
      <c r="A13" s="205"/>
      <c r="B13" s="205"/>
      <c r="C13" s="210" t="s">
        <v>241</v>
      </c>
      <c r="D13" s="205" t="s">
        <v>236</v>
      </c>
      <c r="E13" s="205">
        <v>0.126</v>
      </c>
      <c r="F13" s="211">
        <f>+F9</f>
        <v>2182142</v>
      </c>
      <c r="G13" s="211">
        <f>+F13*E13</f>
        <v>274949.89199999999</v>
      </c>
    </row>
    <row r="14" spans="1:256" ht="16.149999999999999" customHeight="1">
      <c r="A14" s="106">
        <v>6</v>
      </c>
      <c r="B14" s="106" t="s">
        <v>228</v>
      </c>
      <c r="C14" s="208" t="s">
        <v>243</v>
      </c>
      <c r="D14" s="106" t="s">
        <v>90</v>
      </c>
      <c r="E14" s="106"/>
      <c r="F14" s="212"/>
      <c r="G14" s="212">
        <f>SUM(G15)</f>
        <v>274949.89199999999</v>
      </c>
    </row>
    <row r="15" spans="1:256" s="114" customFormat="1" ht="16.149999999999999" customHeight="1">
      <c r="A15" s="205"/>
      <c r="B15" s="205"/>
      <c r="C15" s="210" t="s">
        <v>241</v>
      </c>
      <c r="D15" s="205" t="s">
        <v>236</v>
      </c>
      <c r="E15" s="205">
        <v>0.126</v>
      </c>
      <c r="F15" s="211">
        <f>+F9</f>
        <v>2182142</v>
      </c>
      <c r="G15" s="211">
        <f>+F15*E15</f>
        <v>274949.89199999999</v>
      </c>
    </row>
    <row r="16" spans="1:256" ht="16.149999999999999" customHeight="1">
      <c r="A16" s="106">
        <v>7</v>
      </c>
      <c r="B16" s="106" t="s">
        <v>244</v>
      </c>
      <c r="C16" s="208" t="s">
        <v>245</v>
      </c>
      <c r="D16" s="106" t="s">
        <v>90</v>
      </c>
      <c r="E16" s="106"/>
      <c r="F16" s="212"/>
      <c r="G16" s="212">
        <f>SUM(G17)</f>
        <v>274233.42</v>
      </c>
    </row>
    <row r="17" spans="1:9" s="114" customFormat="1" ht="16.149999999999999" customHeight="1">
      <c r="A17" s="205"/>
      <c r="B17" s="205"/>
      <c r="C17" s="210" t="s">
        <v>246</v>
      </c>
      <c r="D17" s="205" t="s">
        <v>236</v>
      </c>
      <c r="E17" s="205">
        <v>0.18</v>
      </c>
      <c r="F17" s="211">
        <v>1523519</v>
      </c>
      <c r="G17" s="211">
        <f>+F17*E17</f>
        <v>274233.42</v>
      </c>
      <c r="I17" s="114" t="s">
        <v>479</v>
      </c>
    </row>
    <row r="18" spans="1:9" s="105" customFormat="1" ht="16.149999999999999" customHeight="1">
      <c r="A18" s="106">
        <v>8</v>
      </c>
      <c r="B18" s="106" t="s">
        <v>244</v>
      </c>
      <c r="C18" s="208" t="s">
        <v>304</v>
      </c>
      <c r="D18" s="106" t="s">
        <v>90</v>
      </c>
      <c r="E18" s="106"/>
      <c r="F18" s="212"/>
      <c r="G18" s="212">
        <f>SUM(G19)</f>
        <v>713006.89199999999</v>
      </c>
    </row>
    <row r="19" spans="1:9" s="114" customFormat="1" ht="16.149999999999999" customHeight="1">
      <c r="A19" s="205"/>
      <c r="B19" s="205"/>
      <c r="C19" s="210" t="s">
        <v>246</v>
      </c>
      <c r="D19" s="205" t="s">
        <v>236</v>
      </c>
      <c r="E19" s="205">
        <v>0.46800000000000003</v>
      </c>
      <c r="F19" s="211">
        <f>F17</f>
        <v>1523519</v>
      </c>
      <c r="G19" s="211">
        <f>+F19*E19</f>
        <v>713006.89199999999</v>
      </c>
    </row>
    <row r="20" spans="1:9" s="105" customFormat="1" ht="16.149999999999999" customHeight="1">
      <c r="A20" s="106">
        <v>9</v>
      </c>
      <c r="B20" s="106" t="s">
        <v>276</v>
      </c>
      <c r="C20" s="208" t="s">
        <v>305</v>
      </c>
      <c r="D20" s="106" t="s">
        <v>168</v>
      </c>
      <c r="E20" s="106"/>
      <c r="F20" s="209"/>
      <c r="G20" s="209">
        <f>SUM(G21)</f>
        <v>2155.3431250000003</v>
      </c>
    </row>
    <row r="21" spans="1:9" s="114" customFormat="1" ht="16.149999999999999" customHeight="1">
      <c r="A21" s="205"/>
      <c r="B21" s="205"/>
      <c r="C21" s="210" t="s">
        <v>306</v>
      </c>
      <c r="D21" s="205" t="s">
        <v>236</v>
      </c>
      <c r="E21" s="205">
        <v>6.5000000000000002E-2</v>
      </c>
      <c r="F21" s="213">
        <f>+F7</f>
        <v>331591.25</v>
      </c>
      <c r="G21" s="213">
        <f>+F21*E21/10</f>
        <v>2155.3431250000003</v>
      </c>
    </row>
    <row r="22" spans="1:9" s="105" customFormat="1" ht="16.149999999999999" customHeight="1">
      <c r="A22" s="106">
        <v>10</v>
      </c>
      <c r="B22" s="106" t="s">
        <v>307</v>
      </c>
      <c r="C22" s="208" t="s">
        <v>308</v>
      </c>
      <c r="D22" s="106" t="s">
        <v>168</v>
      </c>
      <c r="E22" s="106"/>
      <c r="F22" s="209"/>
      <c r="G22" s="209">
        <f>SUM(G23:G25)</f>
        <v>456934.88608000003</v>
      </c>
    </row>
    <row r="23" spans="1:9" ht="16.149999999999999" customHeight="1">
      <c r="A23" s="205"/>
      <c r="B23" s="205"/>
      <c r="C23" s="210" t="s">
        <v>309</v>
      </c>
      <c r="D23" s="205" t="s">
        <v>236</v>
      </c>
      <c r="E23" s="205">
        <v>0.22</v>
      </c>
      <c r="F23" s="213">
        <v>863106.66399999999</v>
      </c>
      <c r="G23" s="213">
        <f>+F23*E23</f>
        <v>189883.46608000001</v>
      </c>
      <c r="H23" s="114"/>
    </row>
    <row r="24" spans="1:9" s="114" customFormat="1" ht="16.149999999999999" customHeight="1">
      <c r="A24" s="205"/>
      <c r="B24" s="205"/>
      <c r="C24" s="210" t="s">
        <v>310</v>
      </c>
      <c r="D24" s="205" t="s">
        <v>236</v>
      </c>
      <c r="E24" s="205">
        <v>0.47</v>
      </c>
      <c r="F24" s="213">
        <v>297338</v>
      </c>
      <c r="G24" s="213">
        <f>+F24*E24</f>
        <v>139748.85999999999</v>
      </c>
      <c r="I24" s="114" t="s">
        <v>483</v>
      </c>
    </row>
    <row r="25" spans="1:9" s="114" customFormat="1" ht="16.149999999999999" customHeight="1">
      <c r="A25" s="205"/>
      <c r="B25" s="205"/>
      <c r="C25" s="210" t="s">
        <v>311</v>
      </c>
      <c r="D25" s="205" t="s">
        <v>236</v>
      </c>
      <c r="E25" s="205">
        <v>0.22</v>
      </c>
      <c r="F25" s="213">
        <v>578648</v>
      </c>
      <c r="G25" s="213">
        <f>+F25*E25</f>
        <v>127302.56</v>
      </c>
      <c r="I25" s="114" t="s">
        <v>481</v>
      </c>
    </row>
    <row r="26" spans="1:9" s="105" customFormat="1" ht="16.149999999999999" customHeight="1">
      <c r="A26" s="106">
        <v>11</v>
      </c>
      <c r="B26" s="106" t="s">
        <v>312</v>
      </c>
      <c r="C26" s="208" t="s">
        <v>313</v>
      </c>
      <c r="D26" s="106" t="s">
        <v>168</v>
      </c>
      <c r="E26" s="106"/>
      <c r="F26" s="209"/>
      <c r="G26" s="209">
        <f>SUM(G27:G29)</f>
        <v>444520.49904000002</v>
      </c>
    </row>
    <row r="27" spans="1:9" ht="16.149999999999999" customHeight="1">
      <c r="A27" s="205"/>
      <c r="B27" s="205"/>
      <c r="C27" s="210" t="s">
        <v>309</v>
      </c>
      <c r="D27" s="205" t="s">
        <v>236</v>
      </c>
      <c r="E27" s="205">
        <v>0.36</v>
      </c>
      <c r="F27" s="213">
        <v>863106.66399999999</v>
      </c>
      <c r="G27" s="213">
        <f>+F27*E27</f>
        <v>310718.39903999999</v>
      </c>
    </row>
    <row r="28" spans="1:9" s="114" customFormat="1" ht="16.149999999999999" customHeight="1">
      <c r="A28" s="205"/>
      <c r="B28" s="205"/>
      <c r="C28" s="210" t="s">
        <v>310</v>
      </c>
      <c r="D28" s="205" t="s">
        <v>236</v>
      </c>
      <c r="E28" s="205">
        <v>0.45</v>
      </c>
      <c r="F28" s="213">
        <f>F24</f>
        <v>297338</v>
      </c>
      <c r="G28" s="213">
        <f>+F28*E28</f>
        <v>133802.1</v>
      </c>
    </row>
    <row r="29" spans="1:9" s="114" customFormat="1" ht="16.149999999999999" customHeight="1">
      <c r="A29" s="205"/>
      <c r="B29" s="205"/>
      <c r="C29" s="210" t="s">
        <v>311</v>
      </c>
      <c r="D29" s="205" t="s">
        <v>236</v>
      </c>
      <c r="E29" s="205">
        <v>0</v>
      </c>
      <c r="F29" s="213">
        <f>F25</f>
        <v>578648</v>
      </c>
      <c r="G29" s="213">
        <f>+F29*E29</f>
        <v>0</v>
      </c>
    </row>
    <row r="30" spans="1:9" s="105" customFormat="1" ht="16.149999999999999" customHeight="1">
      <c r="A30" s="106">
        <v>12</v>
      </c>
      <c r="B30" s="106" t="s">
        <v>314</v>
      </c>
      <c r="C30" s="208" t="s">
        <v>315</v>
      </c>
      <c r="D30" s="106" t="s">
        <v>168</v>
      </c>
      <c r="E30" s="106"/>
      <c r="F30" s="209"/>
      <c r="G30" s="209">
        <f>SUM(G31:G33)</f>
        <v>340080.47927999997</v>
      </c>
    </row>
    <row r="31" spans="1:9" ht="16.149999999999999" customHeight="1">
      <c r="A31" s="205"/>
      <c r="B31" s="205"/>
      <c r="C31" s="210" t="s">
        <v>309</v>
      </c>
      <c r="D31" s="205" t="s">
        <v>236</v>
      </c>
      <c r="E31" s="205">
        <v>0.27</v>
      </c>
      <c r="F31" s="213">
        <v>863106.66399999999</v>
      </c>
      <c r="G31" s="213">
        <f>+F31*E31</f>
        <v>233038.79928000001</v>
      </c>
    </row>
    <row r="32" spans="1:9" s="114" customFormat="1" ht="16.149999999999999" customHeight="1">
      <c r="A32" s="205"/>
      <c r="B32" s="205"/>
      <c r="C32" s="210" t="s">
        <v>310</v>
      </c>
      <c r="D32" s="205" t="s">
        <v>236</v>
      </c>
      <c r="E32" s="205">
        <v>0.36</v>
      </c>
      <c r="F32" s="213">
        <f>F24</f>
        <v>297338</v>
      </c>
      <c r="G32" s="213">
        <f>+F32*E32</f>
        <v>107041.68</v>
      </c>
    </row>
    <row r="33" spans="1:9" s="114" customFormat="1" ht="16.149999999999999" customHeight="1">
      <c r="A33" s="205"/>
      <c r="B33" s="205"/>
      <c r="C33" s="210" t="s">
        <v>311</v>
      </c>
      <c r="D33" s="205" t="s">
        <v>236</v>
      </c>
      <c r="E33" s="205">
        <v>0</v>
      </c>
      <c r="F33" s="213">
        <f>F25</f>
        <v>578648</v>
      </c>
      <c r="G33" s="213">
        <f>+F33*E33</f>
        <v>0</v>
      </c>
    </row>
    <row r="34" spans="1:9" s="105" customFormat="1" ht="16.149999999999999" customHeight="1">
      <c r="A34" s="106">
        <v>13</v>
      </c>
      <c r="B34" s="106" t="s">
        <v>316</v>
      </c>
      <c r="C34" s="208" t="s">
        <v>317</v>
      </c>
      <c r="D34" s="106" t="s">
        <v>168</v>
      </c>
      <c r="E34" s="106"/>
      <c r="F34" s="209"/>
      <c r="G34" s="209">
        <f>SUM(G35:G37)</f>
        <v>252902.59280000001</v>
      </c>
    </row>
    <row r="35" spans="1:9" ht="16.149999999999999" customHeight="1">
      <c r="A35" s="205"/>
      <c r="B35" s="205"/>
      <c r="C35" s="210" t="s">
        <v>309</v>
      </c>
      <c r="D35" s="205" t="s">
        <v>236</v>
      </c>
      <c r="E35" s="205">
        <v>0.2</v>
      </c>
      <c r="F35" s="213">
        <v>863106.66399999999</v>
      </c>
      <c r="G35" s="213">
        <f>+F35*E35</f>
        <v>172621.3328</v>
      </c>
    </row>
    <row r="36" spans="1:9" s="114" customFormat="1" ht="16.149999999999999" customHeight="1">
      <c r="A36" s="205"/>
      <c r="B36" s="205"/>
      <c r="C36" s="210" t="s">
        <v>310</v>
      </c>
      <c r="D36" s="205" t="s">
        <v>236</v>
      </c>
      <c r="E36" s="205">
        <v>0.27</v>
      </c>
      <c r="F36" s="213">
        <f>F24</f>
        <v>297338</v>
      </c>
      <c r="G36" s="213">
        <f>+F36*E36</f>
        <v>80281.260000000009</v>
      </c>
    </row>
    <row r="37" spans="1:9" s="114" customFormat="1" ht="16.149999999999999" customHeight="1">
      <c r="A37" s="205"/>
      <c r="B37" s="205"/>
      <c r="C37" s="210" t="s">
        <v>311</v>
      </c>
      <c r="D37" s="205" t="s">
        <v>236</v>
      </c>
      <c r="E37" s="205">
        <v>0</v>
      </c>
      <c r="F37" s="213">
        <f>F25</f>
        <v>578648</v>
      </c>
      <c r="G37" s="213">
        <f>+F37*E37</f>
        <v>0</v>
      </c>
    </row>
    <row r="38" spans="1:9" s="105" customFormat="1" ht="16.149999999999999" customHeight="1">
      <c r="A38" s="106">
        <v>14</v>
      </c>
      <c r="B38" s="106" t="s">
        <v>318</v>
      </c>
      <c r="C38" s="208" t="s">
        <v>319</v>
      </c>
      <c r="D38" s="106"/>
      <c r="E38" s="106"/>
      <c r="F38" s="209"/>
      <c r="G38" s="209">
        <f>SUM(G39:G39)</f>
        <v>7846.4124000000002</v>
      </c>
    </row>
    <row r="39" spans="1:9" ht="16.149999999999999" customHeight="1">
      <c r="A39" s="205"/>
      <c r="B39" s="205"/>
      <c r="C39" s="210" t="s">
        <v>320</v>
      </c>
      <c r="D39" s="205" t="s">
        <v>236</v>
      </c>
      <c r="E39" s="205">
        <v>0.08</v>
      </c>
      <c r="F39" s="213">
        <v>98080.154999999999</v>
      </c>
      <c r="G39" s="213">
        <f>+F39*E39</f>
        <v>7846.4124000000002</v>
      </c>
    </row>
    <row r="40" spans="1:9" s="105" customFormat="1" ht="16.149999999999999" customHeight="1">
      <c r="A40" s="106">
        <v>15</v>
      </c>
      <c r="B40" s="106" t="s">
        <v>277</v>
      </c>
      <c r="C40" s="208" t="s">
        <v>321</v>
      </c>
      <c r="D40" s="106"/>
      <c r="E40" s="106"/>
      <c r="F40" s="209"/>
      <c r="G40" s="209">
        <f>SUM(G41:G42)</f>
        <v>359293</v>
      </c>
    </row>
    <row r="41" spans="1:9" s="114" customFormat="1" ht="16.149999999999999" customHeight="1">
      <c r="A41" s="205"/>
      <c r="B41" s="205"/>
      <c r="C41" s="210" t="s">
        <v>322</v>
      </c>
      <c r="D41" s="205" t="s">
        <v>236</v>
      </c>
      <c r="E41" s="205">
        <v>0</v>
      </c>
      <c r="F41" s="213">
        <f>F17</f>
        <v>1523519</v>
      </c>
      <c r="G41" s="213">
        <f>+F41*E41</f>
        <v>0</v>
      </c>
    </row>
    <row r="42" spans="1:9" s="114" customFormat="1" ht="16.149999999999999" customHeight="1">
      <c r="A42" s="205"/>
      <c r="B42" s="205"/>
      <c r="C42" s="210" t="s">
        <v>484</v>
      </c>
      <c r="D42" s="205" t="s">
        <v>236</v>
      </c>
      <c r="E42" s="205">
        <v>0.25</v>
      </c>
      <c r="F42" s="213">
        <v>1437172</v>
      </c>
      <c r="G42" s="213">
        <f>+F42*E42</f>
        <v>359293</v>
      </c>
      <c r="I42" s="114" t="s">
        <v>485</v>
      </c>
    </row>
    <row r="43" spans="1:9" s="105" customFormat="1" ht="16.149999999999999" customHeight="1">
      <c r="A43" s="106">
        <v>16</v>
      </c>
      <c r="B43" s="106" t="s">
        <v>323</v>
      </c>
      <c r="C43" s="208" t="s">
        <v>324</v>
      </c>
      <c r="D43" s="106"/>
      <c r="E43" s="106"/>
      <c r="F43" s="209"/>
      <c r="G43" s="209">
        <f>SUM(G44:G44)</f>
        <v>49040.077499999999</v>
      </c>
    </row>
    <row r="44" spans="1:9" ht="16.149999999999999" customHeight="1">
      <c r="A44" s="205"/>
      <c r="B44" s="205"/>
      <c r="C44" s="210" t="s">
        <v>325</v>
      </c>
      <c r="D44" s="205" t="s">
        <v>236</v>
      </c>
      <c r="E44" s="205">
        <v>0.5</v>
      </c>
      <c r="F44" s="213">
        <v>98080.154999999999</v>
      </c>
      <c r="G44" s="213">
        <f>+F44*E44</f>
        <v>49040.077499999999</v>
      </c>
    </row>
    <row r="45" spans="1:9" s="105" customFormat="1" ht="16.149999999999999" customHeight="1">
      <c r="A45" s="106">
        <v>17</v>
      </c>
      <c r="B45" s="106" t="s">
        <v>326</v>
      </c>
      <c r="C45" s="208" t="s">
        <v>327</v>
      </c>
      <c r="D45" s="106"/>
      <c r="E45" s="106"/>
      <c r="F45" s="209"/>
      <c r="G45" s="209">
        <f>SUM(G46:G46)</f>
        <v>44136.069750000002</v>
      </c>
    </row>
    <row r="46" spans="1:9" ht="16.149999999999999" customHeight="1">
      <c r="A46" s="205"/>
      <c r="B46" s="205"/>
      <c r="C46" s="210" t="s">
        <v>325</v>
      </c>
      <c r="D46" s="205" t="s">
        <v>236</v>
      </c>
      <c r="E46" s="205">
        <v>0.45</v>
      </c>
      <c r="F46" s="213">
        <v>98080.154999999999</v>
      </c>
      <c r="G46" s="213">
        <f>+F46*E46</f>
        <v>44136.069750000002</v>
      </c>
    </row>
    <row r="47" spans="1:9" s="105" customFormat="1" ht="16.149999999999999" customHeight="1">
      <c r="A47" s="106">
        <v>18</v>
      </c>
      <c r="B47" s="106" t="s">
        <v>328</v>
      </c>
      <c r="C47" s="208" t="s">
        <v>329</v>
      </c>
      <c r="D47" s="106"/>
      <c r="E47" s="106"/>
      <c r="F47" s="209"/>
      <c r="G47" s="209">
        <f>SUM(G48:G48)</f>
        <v>39232.061999999998</v>
      </c>
    </row>
    <row r="48" spans="1:9" ht="16.149999999999999" customHeight="1">
      <c r="A48" s="205"/>
      <c r="B48" s="205"/>
      <c r="C48" s="210" t="s">
        <v>325</v>
      </c>
      <c r="D48" s="205" t="s">
        <v>236</v>
      </c>
      <c r="E48" s="205">
        <v>0.4</v>
      </c>
      <c r="F48" s="213">
        <v>98080.154999999999</v>
      </c>
      <c r="G48" s="213">
        <f>+F48*E48</f>
        <v>39232.061999999998</v>
      </c>
    </row>
    <row r="49" spans="1:7" s="105" customFormat="1" ht="16.149999999999999" customHeight="1">
      <c r="A49" s="106">
        <v>19</v>
      </c>
      <c r="B49" s="106" t="s">
        <v>330</v>
      </c>
      <c r="C49" s="208" t="s">
        <v>331</v>
      </c>
      <c r="D49" s="106"/>
      <c r="E49" s="106"/>
      <c r="F49" s="209"/>
      <c r="G49" s="209">
        <f>SUM(G50:G50)</f>
        <v>34328.054250000001</v>
      </c>
    </row>
    <row r="50" spans="1:7" ht="16.149999999999999" customHeight="1">
      <c r="A50" s="205"/>
      <c r="B50" s="205"/>
      <c r="C50" s="210" t="s">
        <v>325</v>
      </c>
      <c r="D50" s="205" t="s">
        <v>236</v>
      </c>
      <c r="E50" s="205">
        <v>0.35</v>
      </c>
      <c r="F50" s="213">
        <v>98080.154999999999</v>
      </c>
      <c r="G50" s="213">
        <f>+F50*E50</f>
        <v>34328.054250000001</v>
      </c>
    </row>
    <row r="51" spans="1:7" s="105" customFormat="1" ht="16.149999999999999" customHeight="1">
      <c r="A51" s="106">
        <v>20</v>
      </c>
      <c r="B51" s="106" t="s">
        <v>332</v>
      </c>
      <c r="C51" s="208" t="s">
        <v>333</v>
      </c>
      <c r="D51" s="106"/>
      <c r="E51" s="106"/>
      <c r="F51" s="209"/>
      <c r="G51" s="209">
        <f>SUM(G52:G52)</f>
        <v>34328.054250000001</v>
      </c>
    </row>
    <row r="52" spans="1:7" ht="16.149999999999999" customHeight="1">
      <c r="A52" s="205"/>
      <c r="B52" s="205"/>
      <c r="C52" s="210" t="s">
        <v>325</v>
      </c>
      <c r="D52" s="205" t="s">
        <v>236</v>
      </c>
      <c r="E52" s="205">
        <v>0.35</v>
      </c>
      <c r="F52" s="213">
        <v>98080.154999999999</v>
      </c>
      <c r="G52" s="213">
        <f>+F52*E52</f>
        <v>34328.054250000001</v>
      </c>
    </row>
  </sheetData>
  <mergeCells count="1">
    <mergeCell ref="A1:G1"/>
  </mergeCells>
  <printOptions horizontalCentered="1"/>
  <pageMargins left="0.31496062992125984" right="0.35433070866141736" top="0.49" bottom="0.51" header="0.31496062992125984" footer="0.31496062992125984"/>
  <pageSetup paperSize="9" scale="8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58"/>
  <sheetViews>
    <sheetView topLeftCell="B1" workbookViewId="0">
      <selection activeCell="H50" sqref="H50"/>
    </sheetView>
  </sheetViews>
  <sheetFormatPr defaultRowHeight="15.75"/>
  <cols>
    <col min="1" max="1" width="13.5" style="273" hidden="1" customWidth="1"/>
    <col min="2" max="2" width="6.33203125" style="273" customWidth="1"/>
    <col min="3" max="3" width="15.1640625" style="273" customWidth="1"/>
    <col min="4" max="4" width="4.6640625" style="273" bestFit="1" customWidth="1"/>
    <col min="5" max="5" width="7.5" style="304" customWidth="1"/>
    <col min="6" max="6" width="10.33203125" style="273" customWidth="1"/>
    <col min="7" max="7" width="5.5" style="273" customWidth="1"/>
    <col min="8" max="8" width="6.83203125" style="273" customWidth="1"/>
    <col min="9" max="9" width="7" style="304" customWidth="1"/>
    <col min="10" max="10" width="5.83203125" style="304" customWidth="1"/>
    <col min="11" max="11" width="8.6640625" style="304" customWidth="1"/>
    <col min="12" max="12" width="12.33203125" style="304" customWidth="1"/>
    <col min="13" max="14" width="5.83203125" style="304" customWidth="1"/>
    <col min="15" max="15" width="12.1640625" style="304" customWidth="1"/>
    <col min="16" max="16" width="12.83203125" style="304" customWidth="1"/>
    <col min="17" max="17" width="12.33203125" style="273" customWidth="1"/>
    <col min="18" max="19" width="11.1640625" style="273" customWidth="1"/>
    <col min="20" max="20" width="12.6640625" style="273" customWidth="1"/>
    <col min="21" max="256" width="9.33203125" style="273"/>
    <col min="257" max="257" width="0" style="273" hidden="1" customWidth="1"/>
    <col min="258" max="258" width="6.33203125" style="273" customWidth="1"/>
    <col min="259" max="259" width="15.1640625" style="273" customWidth="1"/>
    <col min="260" max="260" width="4.6640625" style="273" bestFit="1" customWidth="1"/>
    <col min="261" max="261" width="7.5" style="273" customWidth="1"/>
    <col min="262" max="262" width="10.33203125" style="273" customWidth="1"/>
    <col min="263" max="263" width="5.5" style="273" customWidth="1"/>
    <col min="264" max="264" width="8.83203125" style="273" customWidth="1"/>
    <col min="265" max="265" width="8.6640625" style="273" customWidth="1"/>
    <col min="266" max="267" width="4.83203125" style="273" customWidth="1"/>
    <col min="268" max="268" width="10" style="273" customWidth="1"/>
    <col min="269" max="270" width="5.83203125" style="273" customWidth="1"/>
    <col min="271" max="271" width="10.83203125" style="273" customWidth="1"/>
    <col min="272" max="272" width="11.5" style="273" customWidth="1"/>
    <col min="273" max="273" width="10.5" style="273" customWidth="1"/>
    <col min="274" max="275" width="11.1640625" style="273" customWidth="1"/>
    <col min="276" max="276" width="12.6640625" style="273" customWidth="1"/>
    <col min="277" max="512" width="9.33203125" style="273"/>
    <col min="513" max="513" width="0" style="273" hidden="1" customWidth="1"/>
    <col min="514" max="514" width="6.33203125" style="273" customWidth="1"/>
    <col min="515" max="515" width="15.1640625" style="273" customWidth="1"/>
    <col min="516" max="516" width="4.6640625" style="273" bestFit="1" customWidth="1"/>
    <col min="517" max="517" width="7.5" style="273" customWidth="1"/>
    <col min="518" max="518" width="10.33203125" style="273" customWidth="1"/>
    <col min="519" max="519" width="5.5" style="273" customWidth="1"/>
    <col min="520" max="520" width="8.83203125" style="273" customWidth="1"/>
    <col min="521" max="521" width="8.6640625" style="273" customWidth="1"/>
    <col min="522" max="523" width="4.83203125" style="273" customWidth="1"/>
    <col min="524" max="524" width="10" style="273" customWidth="1"/>
    <col min="525" max="526" width="5.83203125" style="273" customWidth="1"/>
    <col min="527" max="527" width="10.83203125" style="273" customWidth="1"/>
    <col min="528" max="528" width="11.5" style="273" customWidth="1"/>
    <col min="529" max="529" width="10.5" style="273" customWidth="1"/>
    <col min="530" max="531" width="11.1640625" style="273" customWidth="1"/>
    <col min="532" max="532" width="12.6640625" style="273" customWidth="1"/>
    <col min="533" max="768" width="9.33203125" style="273"/>
    <col min="769" max="769" width="0" style="273" hidden="1" customWidth="1"/>
    <col min="770" max="770" width="6.33203125" style="273" customWidth="1"/>
    <col min="771" max="771" width="15.1640625" style="273" customWidth="1"/>
    <col min="772" max="772" width="4.6640625" style="273" bestFit="1" customWidth="1"/>
    <col min="773" max="773" width="7.5" style="273" customWidth="1"/>
    <col min="774" max="774" width="10.33203125" style="273" customWidth="1"/>
    <col min="775" max="775" width="5.5" style="273" customWidth="1"/>
    <col min="776" max="776" width="8.83203125" style="273" customWidth="1"/>
    <col min="777" max="777" width="8.6640625" style="273" customWidth="1"/>
    <col min="778" max="779" width="4.83203125" style="273" customWidth="1"/>
    <col min="780" max="780" width="10" style="273" customWidth="1"/>
    <col min="781" max="782" width="5.83203125" style="273" customWidth="1"/>
    <col min="783" max="783" width="10.83203125" style="273" customWidth="1"/>
    <col min="784" max="784" width="11.5" style="273" customWidth="1"/>
    <col min="785" max="785" width="10.5" style="273" customWidth="1"/>
    <col min="786" max="787" width="11.1640625" style="273" customWidth="1"/>
    <col min="788" max="788" width="12.6640625" style="273" customWidth="1"/>
    <col min="789" max="1024" width="9.33203125" style="273"/>
    <col min="1025" max="1025" width="0" style="273" hidden="1" customWidth="1"/>
    <col min="1026" max="1026" width="6.33203125" style="273" customWidth="1"/>
    <col min="1027" max="1027" width="15.1640625" style="273" customWidth="1"/>
    <col min="1028" max="1028" width="4.6640625" style="273" bestFit="1" customWidth="1"/>
    <col min="1029" max="1029" width="7.5" style="273" customWidth="1"/>
    <col min="1030" max="1030" width="10.33203125" style="273" customWidth="1"/>
    <col min="1031" max="1031" width="5.5" style="273" customWidth="1"/>
    <col min="1032" max="1032" width="8.83203125" style="273" customWidth="1"/>
    <col min="1033" max="1033" width="8.6640625" style="273" customWidth="1"/>
    <col min="1034" max="1035" width="4.83203125" style="273" customWidth="1"/>
    <col min="1036" max="1036" width="10" style="273" customWidth="1"/>
    <col min="1037" max="1038" width="5.83203125" style="273" customWidth="1"/>
    <col min="1039" max="1039" width="10.83203125" style="273" customWidth="1"/>
    <col min="1040" max="1040" width="11.5" style="273" customWidth="1"/>
    <col min="1041" max="1041" width="10.5" style="273" customWidth="1"/>
    <col min="1042" max="1043" width="11.1640625" style="273" customWidth="1"/>
    <col min="1044" max="1044" width="12.6640625" style="273" customWidth="1"/>
    <col min="1045" max="1280" width="9.33203125" style="273"/>
    <col min="1281" max="1281" width="0" style="273" hidden="1" customWidth="1"/>
    <col min="1282" max="1282" width="6.33203125" style="273" customWidth="1"/>
    <col min="1283" max="1283" width="15.1640625" style="273" customWidth="1"/>
    <col min="1284" max="1284" width="4.6640625" style="273" bestFit="1" customWidth="1"/>
    <col min="1285" max="1285" width="7.5" style="273" customWidth="1"/>
    <col min="1286" max="1286" width="10.33203125" style="273" customWidth="1"/>
    <col min="1287" max="1287" width="5.5" style="273" customWidth="1"/>
    <col min="1288" max="1288" width="8.83203125" style="273" customWidth="1"/>
    <col min="1289" max="1289" width="8.6640625" style="273" customWidth="1"/>
    <col min="1290" max="1291" width="4.83203125" style="273" customWidth="1"/>
    <col min="1292" max="1292" width="10" style="273" customWidth="1"/>
    <col min="1293" max="1294" width="5.83203125" style="273" customWidth="1"/>
    <col min="1295" max="1295" width="10.83203125" style="273" customWidth="1"/>
    <col min="1296" max="1296" width="11.5" style="273" customWidth="1"/>
    <col min="1297" max="1297" width="10.5" style="273" customWidth="1"/>
    <col min="1298" max="1299" width="11.1640625" style="273" customWidth="1"/>
    <col min="1300" max="1300" width="12.6640625" style="273" customWidth="1"/>
    <col min="1301" max="1536" width="9.33203125" style="273"/>
    <col min="1537" max="1537" width="0" style="273" hidden="1" customWidth="1"/>
    <col min="1538" max="1538" width="6.33203125" style="273" customWidth="1"/>
    <col min="1539" max="1539" width="15.1640625" style="273" customWidth="1"/>
    <col min="1540" max="1540" width="4.6640625" style="273" bestFit="1" customWidth="1"/>
    <col min="1541" max="1541" width="7.5" style="273" customWidth="1"/>
    <col min="1542" max="1542" width="10.33203125" style="273" customWidth="1"/>
    <col min="1543" max="1543" width="5.5" style="273" customWidth="1"/>
    <col min="1544" max="1544" width="8.83203125" style="273" customWidth="1"/>
    <col min="1545" max="1545" width="8.6640625" style="273" customWidth="1"/>
    <col min="1546" max="1547" width="4.83203125" style="273" customWidth="1"/>
    <col min="1548" max="1548" width="10" style="273" customWidth="1"/>
    <col min="1549" max="1550" width="5.83203125" style="273" customWidth="1"/>
    <col min="1551" max="1551" width="10.83203125" style="273" customWidth="1"/>
    <col min="1552" max="1552" width="11.5" style="273" customWidth="1"/>
    <col min="1553" max="1553" width="10.5" style="273" customWidth="1"/>
    <col min="1554" max="1555" width="11.1640625" style="273" customWidth="1"/>
    <col min="1556" max="1556" width="12.6640625" style="273" customWidth="1"/>
    <col min="1557" max="1792" width="9.33203125" style="273"/>
    <col min="1793" max="1793" width="0" style="273" hidden="1" customWidth="1"/>
    <col min="1794" max="1794" width="6.33203125" style="273" customWidth="1"/>
    <col min="1795" max="1795" width="15.1640625" style="273" customWidth="1"/>
    <col min="1796" max="1796" width="4.6640625" style="273" bestFit="1" customWidth="1"/>
    <col min="1797" max="1797" width="7.5" style="273" customWidth="1"/>
    <col min="1798" max="1798" width="10.33203125" style="273" customWidth="1"/>
    <col min="1799" max="1799" width="5.5" style="273" customWidth="1"/>
    <col min="1800" max="1800" width="8.83203125" style="273" customWidth="1"/>
    <col min="1801" max="1801" width="8.6640625" style="273" customWidth="1"/>
    <col min="1802" max="1803" width="4.83203125" style="273" customWidth="1"/>
    <col min="1804" max="1804" width="10" style="273" customWidth="1"/>
    <col min="1805" max="1806" width="5.83203125" style="273" customWidth="1"/>
    <col min="1807" max="1807" width="10.83203125" style="273" customWidth="1"/>
    <col min="1808" max="1808" width="11.5" style="273" customWidth="1"/>
    <col min="1809" max="1809" width="10.5" style="273" customWidth="1"/>
    <col min="1810" max="1811" width="11.1640625" style="273" customWidth="1"/>
    <col min="1812" max="1812" width="12.6640625" style="273" customWidth="1"/>
    <col min="1813" max="2048" width="9.33203125" style="273"/>
    <col min="2049" max="2049" width="0" style="273" hidden="1" customWidth="1"/>
    <col min="2050" max="2050" width="6.33203125" style="273" customWidth="1"/>
    <col min="2051" max="2051" width="15.1640625" style="273" customWidth="1"/>
    <col min="2052" max="2052" width="4.6640625" style="273" bestFit="1" customWidth="1"/>
    <col min="2053" max="2053" width="7.5" style="273" customWidth="1"/>
    <col min="2054" max="2054" width="10.33203125" style="273" customWidth="1"/>
    <col min="2055" max="2055" width="5.5" style="273" customWidth="1"/>
    <col min="2056" max="2056" width="8.83203125" style="273" customWidth="1"/>
    <col min="2057" max="2057" width="8.6640625" style="273" customWidth="1"/>
    <col min="2058" max="2059" width="4.83203125" style="273" customWidth="1"/>
    <col min="2060" max="2060" width="10" style="273" customWidth="1"/>
    <col min="2061" max="2062" width="5.83203125" style="273" customWidth="1"/>
    <col min="2063" max="2063" width="10.83203125" style="273" customWidth="1"/>
    <col min="2064" max="2064" width="11.5" style="273" customWidth="1"/>
    <col min="2065" max="2065" width="10.5" style="273" customWidth="1"/>
    <col min="2066" max="2067" width="11.1640625" style="273" customWidth="1"/>
    <col min="2068" max="2068" width="12.6640625" style="273" customWidth="1"/>
    <col min="2069" max="2304" width="9.33203125" style="273"/>
    <col min="2305" max="2305" width="0" style="273" hidden="1" customWidth="1"/>
    <col min="2306" max="2306" width="6.33203125" style="273" customWidth="1"/>
    <col min="2307" max="2307" width="15.1640625" style="273" customWidth="1"/>
    <col min="2308" max="2308" width="4.6640625" style="273" bestFit="1" customWidth="1"/>
    <col min="2309" max="2309" width="7.5" style="273" customWidth="1"/>
    <col min="2310" max="2310" width="10.33203125" style="273" customWidth="1"/>
    <col min="2311" max="2311" width="5.5" style="273" customWidth="1"/>
    <col min="2312" max="2312" width="8.83203125" style="273" customWidth="1"/>
    <col min="2313" max="2313" width="8.6640625" style="273" customWidth="1"/>
    <col min="2314" max="2315" width="4.83203125" style="273" customWidth="1"/>
    <col min="2316" max="2316" width="10" style="273" customWidth="1"/>
    <col min="2317" max="2318" width="5.83203125" style="273" customWidth="1"/>
    <col min="2319" max="2319" width="10.83203125" style="273" customWidth="1"/>
    <col min="2320" max="2320" width="11.5" style="273" customWidth="1"/>
    <col min="2321" max="2321" width="10.5" style="273" customWidth="1"/>
    <col min="2322" max="2323" width="11.1640625" style="273" customWidth="1"/>
    <col min="2324" max="2324" width="12.6640625" style="273" customWidth="1"/>
    <col min="2325" max="2560" width="9.33203125" style="273"/>
    <col min="2561" max="2561" width="0" style="273" hidden="1" customWidth="1"/>
    <col min="2562" max="2562" width="6.33203125" style="273" customWidth="1"/>
    <col min="2563" max="2563" width="15.1640625" style="273" customWidth="1"/>
    <col min="2564" max="2564" width="4.6640625" style="273" bestFit="1" customWidth="1"/>
    <col min="2565" max="2565" width="7.5" style="273" customWidth="1"/>
    <col min="2566" max="2566" width="10.33203125" style="273" customWidth="1"/>
    <col min="2567" max="2567" width="5.5" style="273" customWidth="1"/>
    <col min="2568" max="2568" width="8.83203125" style="273" customWidth="1"/>
    <col min="2569" max="2569" width="8.6640625" style="273" customWidth="1"/>
    <col min="2570" max="2571" width="4.83203125" style="273" customWidth="1"/>
    <col min="2572" max="2572" width="10" style="273" customWidth="1"/>
    <col min="2573" max="2574" width="5.83203125" style="273" customWidth="1"/>
    <col min="2575" max="2575" width="10.83203125" style="273" customWidth="1"/>
    <col min="2576" max="2576" width="11.5" style="273" customWidth="1"/>
    <col min="2577" max="2577" width="10.5" style="273" customWidth="1"/>
    <col min="2578" max="2579" width="11.1640625" style="273" customWidth="1"/>
    <col min="2580" max="2580" width="12.6640625" style="273" customWidth="1"/>
    <col min="2581" max="2816" width="9.33203125" style="273"/>
    <col min="2817" max="2817" width="0" style="273" hidden="1" customWidth="1"/>
    <col min="2818" max="2818" width="6.33203125" style="273" customWidth="1"/>
    <col min="2819" max="2819" width="15.1640625" style="273" customWidth="1"/>
    <col min="2820" max="2820" width="4.6640625" style="273" bestFit="1" customWidth="1"/>
    <col min="2821" max="2821" width="7.5" style="273" customWidth="1"/>
    <col min="2822" max="2822" width="10.33203125" style="273" customWidth="1"/>
    <col min="2823" max="2823" width="5.5" style="273" customWidth="1"/>
    <col min="2824" max="2824" width="8.83203125" style="273" customWidth="1"/>
    <col min="2825" max="2825" width="8.6640625" style="273" customWidth="1"/>
    <col min="2826" max="2827" width="4.83203125" style="273" customWidth="1"/>
    <col min="2828" max="2828" width="10" style="273" customWidth="1"/>
    <col min="2829" max="2830" width="5.83203125" style="273" customWidth="1"/>
    <col min="2831" max="2831" width="10.83203125" style="273" customWidth="1"/>
    <col min="2832" max="2832" width="11.5" style="273" customWidth="1"/>
    <col min="2833" max="2833" width="10.5" style="273" customWidth="1"/>
    <col min="2834" max="2835" width="11.1640625" style="273" customWidth="1"/>
    <col min="2836" max="2836" width="12.6640625" style="273" customWidth="1"/>
    <col min="2837" max="3072" width="9.33203125" style="273"/>
    <col min="3073" max="3073" width="0" style="273" hidden="1" customWidth="1"/>
    <col min="3074" max="3074" width="6.33203125" style="273" customWidth="1"/>
    <col min="3075" max="3075" width="15.1640625" style="273" customWidth="1"/>
    <col min="3076" max="3076" width="4.6640625" style="273" bestFit="1" customWidth="1"/>
    <col min="3077" max="3077" width="7.5" style="273" customWidth="1"/>
    <col min="3078" max="3078" width="10.33203125" style="273" customWidth="1"/>
    <col min="3079" max="3079" width="5.5" style="273" customWidth="1"/>
    <col min="3080" max="3080" width="8.83203125" style="273" customWidth="1"/>
    <col min="3081" max="3081" width="8.6640625" style="273" customWidth="1"/>
    <col min="3082" max="3083" width="4.83203125" style="273" customWidth="1"/>
    <col min="3084" max="3084" width="10" style="273" customWidth="1"/>
    <col min="3085" max="3086" width="5.83203125" style="273" customWidth="1"/>
    <col min="3087" max="3087" width="10.83203125" style="273" customWidth="1"/>
    <col min="3088" max="3088" width="11.5" style="273" customWidth="1"/>
    <col min="3089" max="3089" width="10.5" style="273" customWidth="1"/>
    <col min="3090" max="3091" width="11.1640625" style="273" customWidth="1"/>
    <col min="3092" max="3092" width="12.6640625" style="273" customWidth="1"/>
    <col min="3093" max="3328" width="9.33203125" style="273"/>
    <col min="3329" max="3329" width="0" style="273" hidden="1" customWidth="1"/>
    <col min="3330" max="3330" width="6.33203125" style="273" customWidth="1"/>
    <col min="3331" max="3331" width="15.1640625" style="273" customWidth="1"/>
    <col min="3332" max="3332" width="4.6640625" style="273" bestFit="1" customWidth="1"/>
    <col min="3333" max="3333" width="7.5" style="273" customWidth="1"/>
    <col min="3334" max="3334" width="10.33203125" style="273" customWidth="1"/>
    <col min="3335" max="3335" width="5.5" style="273" customWidth="1"/>
    <col min="3336" max="3336" width="8.83203125" style="273" customWidth="1"/>
    <col min="3337" max="3337" width="8.6640625" style="273" customWidth="1"/>
    <col min="3338" max="3339" width="4.83203125" style="273" customWidth="1"/>
    <col min="3340" max="3340" width="10" style="273" customWidth="1"/>
    <col min="3341" max="3342" width="5.83203125" style="273" customWidth="1"/>
    <col min="3343" max="3343" width="10.83203125" style="273" customWidth="1"/>
    <col min="3344" max="3344" width="11.5" style="273" customWidth="1"/>
    <col min="3345" max="3345" width="10.5" style="273" customWidth="1"/>
    <col min="3346" max="3347" width="11.1640625" style="273" customWidth="1"/>
    <col min="3348" max="3348" width="12.6640625" style="273" customWidth="1"/>
    <col min="3349" max="3584" width="9.33203125" style="273"/>
    <col min="3585" max="3585" width="0" style="273" hidden="1" customWidth="1"/>
    <col min="3586" max="3586" width="6.33203125" style="273" customWidth="1"/>
    <col min="3587" max="3587" width="15.1640625" style="273" customWidth="1"/>
    <col min="3588" max="3588" width="4.6640625" style="273" bestFit="1" customWidth="1"/>
    <col min="3589" max="3589" width="7.5" style="273" customWidth="1"/>
    <col min="3590" max="3590" width="10.33203125" style="273" customWidth="1"/>
    <col min="3591" max="3591" width="5.5" style="273" customWidth="1"/>
    <col min="3592" max="3592" width="8.83203125" style="273" customWidth="1"/>
    <col min="3593" max="3593" width="8.6640625" style="273" customWidth="1"/>
    <col min="3594" max="3595" width="4.83203125" style="273" customWidth="1"/>
    <col min="3596" max="3596" width="10" style="273" customWidth="1"/>
    <col min="3597" max="3598" width="5.83203125" style="273" customWidth="1"/>
    <col min="3599" max="3599" width="10.83203125" style="273" customWidth="1"/>
    <col min="3600" max="3600" width="11.5" style="273" customWidth="1"/>
    <col min="3601" max="3601" width="10.5" style="273" customWidth="1"/>
    <col min="3602" max="3603" width="11.1640625" style="273" customWidth="1"/>
    <col min="3604" max="3604" width="12.6640625" style="273" customWidth="1"/>
    <col min="3605" max="3840" width="9.33203125" style="273"/>
    <col min="3841" max="3841" width="0" style="273" hidden="1" customWidth="1"/>
    <col min="3842" max="3842" width="6.33203125" style="273" customWidth="1"/>
    <col min="3843" max="3843" width="15.1640625" style="273" customWidth="1"/>
    <col min="3844" max="3844" width="4.6640625" style="273" bestFit="1" customWidth="1"/>
    <col min="3845" max="3845" width="7.5" style="273" customWidth="1"/>
    <col min="3846" max="3846" width="10.33203125" style="273" customWidth="1"/>
    <col min="3847" max="3847" width="5.5" style="273" customWidth="1"/>
    <col min="3848" max="3848" width="8.83203125" style="273" customWidth="1"/>
    <col min="3849" max="3849" width="8.6640625" style="273" customWidth="1"/>
    <col min="3850" max="3851" width="4.83203125" style="273" customWidth="1"/>
    <col min="3852" max="3852" width="10" style="273" customWidth="1"/>
    <col min="3853" max="3854" width="5.83203125" style="273" customWidth="1"/>
    <col min="3855" max="3855" width="10.83203125" style="273" customWidth="1"/>
    <col min="3856" max="3856" width="11.5" style="273" customWidth="1"/>
    <col min="3857" max="3857" width="10.5" style="273" customWidth="1"/>
    <col min="3858" max="3859" width="11.1640625" style="273" customWidth="1"/>
    <col min="3860" max="3860" width="12.6640625" style="273" customWidth="1"/>
    <col min="3861" max="4096" width="9.33203125" style="273"/>
    <col min="4097" max="4097" width="0" style="273" hidden="1" customWidth="1"/>
    <col min="4098" max="4098" width="6.33203125" style="273" customWidth="1"/>
    <col min="4099" max="4099" width="15.1640625" style="273" customWidth="1"/>
    <col min="4100" max="4100" width="4.6640625" style="273" bestFit="1" customWidth="1"/>
    <col min="4101" max="4101" width="7.5" style="273" customWidth="1"/>
    <col min="4102" max="4102" width="10.33203125" style="273" customWidth="1"/>
    <col min="4103" max="4103" width="5.5" style="273" customWidth="1"/>
    <col min="4104" max="4104" width="8.83203125" style="273" customWidth="1"/>
    <col min="4105" max="4105" width="8.6640625" style="273" customWidth="1"/>
    <col min="4106" max="4107" width="4.83203125" style="273" customWidth="1"/>
    <col min="4108" max="4108" width="10" style="273" customWidth="1"/>
    <col min="4109" max="4110" width="5.83203125" style="273" customWidth="1"/>
    <col min="4111" max="4111" width="10.83203125" style="273" customWidth="1"/>
    <col min="4112" max="4112" width="11.5" style="273" customWidth="1"/>
    <col min="4113" max="4113" width="10.5" style="273" customWidth="1"/>
    <col min="4114" max="4115" width="11.1640625" style="273" customWidth="1"/>
    <col min="4116" max="4116" width="12.6640625" style="273" customWidth="1"/>
    <col min="4117" max="4352" width="9.33203125" style="273"/>
    <col min="4353" max="4353" width="0" style="273" hidden="1" customWidth="1"/>
    <col min="4354" max="4354" width="6.33203125" style="273" customWidth="1"/>
    <col min="4355" max="4355" width="15.1640625" style="273" customWidth="1"/>
    <col min="4356" max="4356" width="4.6640625" style="273" bestFit="1" customWidth="1"/>
    <col min="4357" max="4357" width="7.5" style="273" customWidth="1"/>
    <col min="4358" max="4358" width="10.33203125" style="273" customWidth="1"/>
    <col min="4359" max="4359" width="5.5" style="273" customWidth="1"/>
    <col min="4360" max="4360" width="8.83203125" style="273" customWidth="1"/>
    <col min="4361" max="4361" width="8.6640625" style="273" customWidth="1"/>
    <col min="4362" max="4363" width="4.83203125" style="273" customWidth="1"/>
    <col min="4364" max="4364" width="10" style="273" customWidth="1"/>
    <col min="4365" max="4366" width="5.83203125" style="273" customWidth="1"/>
    <col min="4367" max="4367" width="10.83203125" style="273" customWidth="1"/>
    <col min="4368" max="4368" width="11.5" style="273" customWidth="1"/>
    <col min="4369" max="4369" width="10.5" style="273" customWidth="1"/>
    <col min="4370" max="4371" width="11.1640625" style="273" customWidth="1"/>
    <col min="4372" max="4372" width="12.6640625" style="273" customWidth="1"/>
    <col min="4373" max="4608" width="9.33203125" style="273"/>
    <col min="4609" max="4609" width="0" style="273" hidden="1" customWidth="1"/>
    <col min="4610" max="4610" width="6.33203125" style="273" customWidth="1"/>
    <col min="4611" max="4611" width="15.1640625" style="273" customWidth="1"/>
    <col min="4612" max="4612" width="4.6640625" style="273" bestFit="1" customWidth="1"/>
    <col min="4613" max="4613" width="7.5" style="273" customWidth="1"/>
    <col min="4614" max="4614" width="10.33203125" style="273" customWidth="1"/>
    <col min="4615" max="4615" width="5.5" style="273" customWidth="1"/>
    <col min="4616" max="4616" width="8.83203125" style="273" customWidth="1"/>
    <col min="4617" max="4617" width="8.6640625" style="273" customWidth="1"/>
    <col min="4618" max="4619" width="4.83203125" style="273" customWidth="1"/>
    <col min="4620" max="4620" width="10" style="273" customWidth="1"/>
    <col min="4621" max="4622" width="5.83203125" style="273" customWidth="1"/>
    <col min="4623" max="4623" width="10.83203125" style="273" customWidth="1"/>
    <col min="4624" max="4624" width="11.5" style="273" customWidth="1"/>
    <col min="4625" max="4625" width="10.5" style="273" customWidth="1"/>
    <col min="4626" max="4627" width="11.1640625" style="273" customWidth="1"/>
    <col min="4628" max="4628" width="12.6640625" style="273" customWidth="1"/>
    <col min="4629" max="4864" width="9.33203125" style="273"/>
    <col min="4865" max="4865" width="0" style="273" hidden="1" customWidth="1"/>
    <col min="4866" max="4866" width="6.33203125" style="273" customWidth="1"/>
    <col min="4867" max="4867" width="15.1640625" style="273" customWidth="1"/>
    <col min="4868" max="4868" width="4.6640625" style="273" bestFit="1" customWidth="1"/>
    <col min="4869" max="4869" width="7.5" style="273" customWidth="1"/>
    <col min="4870" max="4870" width="10.33203125" style="273" customWidth="1"/>
    <col min="4871" max="4871" width="5.5" style="273" customWidth="1"/>
    <col min="4872" max="4872" width="8.83203125" style="273" customWidth="1"/>
    <col min="4873" max="4873" width="8.6640625" style="273" customWidth="1"/>
    <col min="4874" max="4875" width="4.83203125" style="273" customWidth="1"/>
    <col min="4876" max="4876" width="10" style="273" customWidth="1"/>
    <col min="4877" max="4878" width="5.83203125" style="273" customWidth="1"/>
    <col min="4879" max="4879" width="10.83203125" style="273" customWidth="1"/>
    <col min="4880" max="4880" width="11.5" style="273" customWidth="1"/>
    <col min="4881" max="4881" width="10.5" style="273" customWidth="1"/>
    <col min="4882" max="4883" width="11.1640625" style="273" customWidth="1"/>
    <col min="4884" max="4884" width="12.6640625" style="273" customWidth="1"/>
    <col min="4885" max="5120" width="9.33203125" style="273"/>
    <col min="5121" max="5121" width="0" style="273" hidden="1" customWidth="1"/>
    <col min="5122" max="5122" width="6.33203125" style="273" customWidth="1"/>
    <col min="5123" max="5123" width="15.1640625" style="273" customWidth="1"/>
    <col min="5124" max="5124" width="4.6640625" style="273" bestFit="1" customWidth="1"/>
    <col min="5125" max="5125" width="7.5" style="273" customWidth="1"/>
    <col min="5126" max="5126" width="10.33203125" style="273" customWidth="1"/>
    <col min="5127" max="5127" width="5.5" style="273" customWidth="1"/>
    <col min="5128" max="5128" width="8.83203125" style="273" customWidth="1"/>
    <col min="5129" max="5129" width="8.6640625" style="273" customWidth="1"/>
    <col min="5130" max="5131" width="4.83203125" style="273" customWidth="1"/>
    <col min="5132" max="5132" width="10" style="273" customWidth="1"/>
    <col min="5133" max="5134" width="5.83203125" style="273" customWidth="1"/>
    <col min="5135" max="5135" width="10.83203125" style="273" customWidth="1"/>
    <col min="5136" max="5136" width="11.5" style="273" customWidth="1"/>
    <col min="5137" max="5137" width="10.5" style="273" customWidth="1"/>
    <col min="5138" max="5139" width="11.1640625" style="273" customWidth="1"/>
    <col min="5140" max="5140" width="12.6640625" style="273" customWidth="1"/>
    <col min="5141" max="5376" width="9.33203125" style="273"/>
    <col min="5377" max="5377" width="0" style="273" hidden="1" customWidth="1"/>
    <col min="5378" max="5378" width="6.33203125" style="273" customWidth="1"/>
    <col min="5379" max="5379" width="15.1640625" style="273" customWidth="1"/>
    <col min="5380" max="5380" width="4.6640625" style="273" bestFit="1" customWidth="1"/>
    <col min="5381" max="5381" width="7.5" style="273" customWidth="1"/>
    <col min="5382" max="5382" width="10.33203125" style="273" customWidth="1"/>
    <col min="5383" max="5383" width="5.5" style="273" customWidth="1"/>
    <col min="5384" max="5384" width="8.83203125" style="273" customWidth="1"/>
    <col min="5385" max="5385" width="8.6640625" style="273" customWidth="1"/>
    <col min="5386" max="5387" width="4.83203125" style="273" customWidth="1"/>
    <col min="5388" max="5388" width="10" style="273" customWidth="1"/>
    <col min="5389" max="5390" width="5.83203125" style="273" customWidth="1"/>
    <col min="5391" max="5391" width="10.83203125" style="273" customWidth="1"/>
    <col min="5392" max="5392" width="11.5" style="273" customWidth="1"/>
    <col min="5393" max="5393" width="10.5" style="273" customWidth="1"/>
    <col min="5394" max="5395" width="11.1640625" style="273" customWidth="1"/>
    <col min="5396" max="5396" width="12.6640625" style="273" customWidth="1"/>
    <col min="5397" max="5632" width="9.33203125" style="273"/>
    <col min="5633" max="5633" width="0" style="273" hidden="1" customWidth="1"/>
    <col min="5634" max="5634" width="6.33203125" style="273" customWidth="1"/>
    <col min="5635" max="5635" width="15.1640625" style="273" customWidth="1"/>
    <col min="5636" max="5636" width="4.6640625" style="273" bestFit="1" customWidth="1"/>
    <col min="5637" max="5637" width="7.5" style="273" customWidth="1"/>
    <col min="5638" max="5638" width="10.33203125" style="273" customWidth="1"/>
    <col min="5639" max="5639" width="5.5" style="273" customWidth="1"/>
    <col min="5640" max="5640" width="8.83203125" style="273" customWidth="1"/>
    <col min="5641" max="5641" width="8.6640625" style="273" customWidth="1"/>
    <col min="5642" max="5643" width="4.83203125" style="273" customWidth="1"/>
    <col min="5644" max="5644" width="10" style="273" customWidth="1"/>
    <col min="5645" max="5646" width="5.83203125" style="273" customWidth="1"/>
    <col min="5647" max="5647" width="10.83203125" style="273" customWidth="1"/>
    <col min="5648" max="5648" width="11.5" style="273" customWidth="1"/>
    <col min="5649" max="5649" width="10.5" style="273" customWidth="1"/>
    <col min="5650" max="5651" width="11.1640625" style="273" customWidth="1"/>
    <col min="5652" max="5652" width="12.6640625" style="273" customWidth="1"/>
    <col min="5653" max="5888" width="9.33203125" style="273"/>
    <col min="5889" max="5889" width="0" style="273" hidden="1" customWidth="1"/>
    <col min="5890" max="5890" width="6.33203125" style="273" customWidth="1"/>
    <col min="5891" max="5891" width="15.1640625" style="273" customWidth="1"/>
    <col min="5892" max="5892" width="4.6640625" style="273" bestFit="1" customWidth="1"/>
    <col min="5893" max="5893" width="7.5" style="273" customWidth="1"/>
    <col min="5894" max="5894" width="10.33203125" style="273" customWidth="1"/>
    <col min="5895" max="5895" width="5.5" style="273" customWidth="1"/>
    <col min="5896" max="5896" width="8.83203125" style="273" customWidth="1"/>
    <col min="5897" max="5897" width="8.6640625" style="273" customWidth="1"/>
    <col min="5898" max="5899" width="4.83203125" style="273" customWidth="1"/>
    <col min="5900" max="5900" width="10" style="273" customWidth="1"/>
    <col min="5901" max="5902" width="5.83203125" style="273" customWidth="1"/>
    <col min="5903" max="5903" width="10.83203125" style="273" customWidth="1"/>
    <col min="5904" max="5904" width="11.5" style="273" customWidth="1"/>
    <col min="5905" max="5905" width="10.5" style="273" customWidth="1"/>
    <col min="5906" max="5907" width="11.1640625" style="273" customWidth="1"/>
    <col min="5908" max="5908" width="12.6640625" style="273" customWidth="1"/>
    <col min="5909" max="6144" width="9.33203125" style="273"/>
    <col min="6145" max="6145" width="0" style="273" hidden="1" customWidth="1"/>
    <col min="6146" max="6146" width="6.33203125" style="273" customWidth="1"/>
    <col min="6147" max="6147" width="15.1640625" style="273" customWidth="1"/>
    <col min="6148" max="6148" width="4.6640625" style="273" bestFit="1" customWidth="1"/>
    <col min="6149" max="6149" width="7.5" style="273" customWidth="1"/>
    <col min="6150" max="6150" width="10.33203125" style="273" customWidth="1"/>
    <col min="6151" max="6151" width="5.5" style="273" customWidth="1"/>
    <col min="6152" max="6152" width="8.83203125" style="273" customWidth="1"/>
    <col min="6153" max="6153" width="8.6640625" style="273" customWidth="1"/>
    <col min="6154" max="6155" width="4.83203125" style="273" customWidth="1"/>
    <col min="6156" max="6156" width="10" style="273" customWidth="1"/>
    <col min="6157" max="6158" width="5.83203125" style="273" customWidth="1"/>
    <col min="6159" max="6159" width="10.83203125" style="273" customWidth="1"/>
    <col min="6160" max="6160" width="11.5" style="273" customWidth="1"/>
    <col min="6161" max="6161" width="10.5" style="273" customWidth="1"/>
    <col min="6162" max="6163" width="11.1640625" style="273" customWidth="1"/>
    <col min="6164" max="6164" width="12.6640625" style="273" customWidth="1"/>
    <col min="6165" max="6400" width="9.33203125" style="273"/>
    <col min="6401" max="6401" width="0" style="273" hidden="1" customWidth="1"/>
    <col min="6402" max="6402" width="6.33203125" style="273" customWidth="1"/>
    <col min="6403" max="6403" width="15.1640625" style="273" customWidth="1"/>
    <col min="6404" max="6404" width="4.6640625" style="273" bestFit="1" customWidth="1"/>
    <col min="6405" max="6405" width="7.5" style="273" customWidth="1"/>
    <col min="6406" max="6406" width="10.33203125" style="273" customWidth="1"/>
    <col min="6407" max="6407" width="5.5" style="273" customWidth="1"/>
    <col min="6408" max="6408" width="8.83203125" style="273" customWidth="1"/>
    <col min="6409" max="6409" width="8.6640625" style="273" customWidth="1"/>
    <col min="6410" max="6411" width="4.83203125" style="273" customWidth="1"/>
    <col min="6412" max="6412" width="10" style="273" customWidth="1"/>
    <col min="6413" max="6414" width="5.83203125" style="273" customWidth="1"/>
    <col min="6415" max="6415" width="10.83203125" style="273" customWidth="1"/>
    <col min="6416" max="6416" width="11.5" style="273" customWidth="1"/>
    <col min="6417" max="6417" width="10.5" style="273" customWidth="1"/>
    <col min="6418" max="6419" width="11.1640625" style="273" customWidth="1"/>
    <col min="6420" max="6420" width="12.6640625" style="273" customWidth="1"/>
    <col min="6421" max="6656" width="9.33203125" style="273"/>
    <col min="6657" max="6657" width="0" style="273" hidden="1" customWidth="1"/>
    <col min="6658" max="6658" width="6.33203125" style="273" customWidth="1"/>
    <col min="6659" max="6659" width="15.1640625" style="273" customWidth="1"/>
    <col min="6660" max="6660" width="4.6640625" style="273" bestFit="1" customWidth="1"/>
    <col min="6661" max="6661" width="7.5" style="273" customWidth="1"/>
    <col min="6662" max="6662" width="10.33203125" style="273" customWidth="1"/>
    <col min="6663" max="6663" width="5.5" style="273" customWidth="1"/>
    <col min="6664" max="6664" width="8.83203125" style="273" customWidth="1"/>
    <col min="6665" max="6665" width="8.6640625" style="273" customWidth="1"/>
    <col min="6666" max="6667" width="4.83203125" style="273" customWidth="1"/>
    <col min="6668" max="6668" width="10" style="273" customWidth="1"/>
    <col min="6669" max="6670" width="5.83203125" style="273" customWidth="1"/>
    <col min="6671" max="6671" width="10.83203125" style="273" customWidth="1"/>
    <col min="6672" max="6672" width="11.5" style="273" customWidth="1"/>
    <col min="6673" max="6673" width="10.5" style="273" customWidth="1"/>
    <col min="6674" max="6675" width="11.1640625" style="273" customWidth="1"/>
    <col min="6676" max="6676" width="12.6640625" style="273" customWidth="1"/>
    <col min="6677" max="6912" width="9.33203125" style="273"/>
    <col min="6913" max="6913" width="0" style="273" hidden="1" customWidth="1"/>
    <col min="6914" max="6914" width="6.33203125" style="273" customWidth="1"/>
    <col min="6915" max="6915" width="15.1640625" style="273" customWidth="1"/>
    <col min="6916" max="6916" width="4.6640625" style="273" bestFit="1" customWidth="1"/>
    <col min="6917" max="6917" width="7.5" style="273" customWidth="1"/>
    <col min="6918" max="6918" width="10.33203125" style="273" customWidth="1"/>
    <col min="6919" max="6919" width="5.5" style="273" customWidth="1"/>
    <col min="6920" max="6920" width="8.83203125" style="273" customWidth="1"/>
    <col min="6921" max="6921" width="8.6640625" style="273" customWidth="1"/>
    <col min="6922" max="6923" width="4.83203125" style="273" customWidth="1"/>
    <col min="6924" max="6924" width="10" style="273" customWidth="1"/>
    <col min="6925" max="6926" width="5.83203125" style="273" customWidth="1"/>
    <col min="6927" max="6927" width="10.83203125" style="273" customWidth="1"/>
    <col min="6928" max="6928" width="11.5" style="273" customWidth="1"/>
    <col min="6929" max="6929" width="10.5" style="273" customWidth="1"/>
    <col min="6930" max="6931" width="11.1640625" style="273" customWidth="1"/>
    <col min="6932" max="6932" width="12.6640625" style="273" customWidth="1"/>
    <col min="6933" max="7168" width="9.33203125" style="273"/>
    <col min="7169" max="7169" width="0" style="273" hidden="1" customWidth="1"/>
    <col min="7170" max="7170" width="6.33203125" style="273" customWidth="1"/>
    <col min="7171" max="7171" width="15.1640625" style="273" customWidth="1"/>
    <col min="7172" max="7172" width="4.6640625" style="273" bestFit="1" customWidth="1"/>
    <col min="7173" max="7173" width="7.5" style="273" customWidth="1"/>
    <col min="7174" max="7174" width="10.33203125" style="273" customWidth="1"/>
    <col min="7175" max="7175" width="5.5" style="273" customWidth="1"/>
    <col min="7176" max="7176" width="8.83203125" style="273" customWidth="1"/>
    <col min="7177" max="7177" width="8.6640625" style="273" customWidth="1"/>
    <col min="7178" max="7179" width="4.83203125" style="273" customWidth="1"/>
    <col min="7180" max="7180" width="10" style="273" customWidth="1"/>
    <col min="7181" max="7182" width="5.83203125" style="273" customWidth="1"/>
    <col min="7183" max="7183" width="10.83203125" style="273" customWidth="1"/>
    <col min="7184" max="7184" width="11.5" style="273" customWidth="1"/>
    <col min="7185" max="7185" width="10.5" style="273" customWidth="1"/>
    <col min="7186" max="7187" width="11.1640625" style="273" customWidth="1"/>
    <col min="7188" max="7188" width="12.6640625" style="273" customWidth="1"/>
    <col min="7189" max="7424" width="9.33203125" style="273"/>
    <col min="7425" max="7425" width="0" style="273" hidden="1" customWidth="1"/>
    <col min="7426" max="7426" width="6.33203125" style="273" customWidth="1"/>
    <col min="7427" max="7427" width="15.1640625" style="273" customWidth="1"/>
    <col min="7428" max="7428" width="4.6640625" style="273" bestFit="1" customWidth="1"/>
    <col min="7429" max="7429" width="7.5" style="273" customWidth="1"/>
    <col min="7430" max="7430" width="10.33203125" style="273" customWidth="1"/>
    <col min="7431" max="7431" width="5.5" style="273" customWidth="1"/>
    <col min="7432" max="7432" width="8.83203125" style="273" customWidth="1"/>
    <col min="7433" max="7433" width="8.6640625" style="273" customWidth="1"/>
    <col min="7434" max="7435" width="4.83203125" style="273" customWidth="1"/>
    <col min="7436" max="7436" width="10" style="273" customWidth="1"/>
    <col min="7437" max="7438" width="5.83203125" style="273" customWidth="1"/>
    <col min="7439" max="7439" width="10.83203125" style="273" customWidth="1"/>
    <col min="7440" max="7440" width="11.5" style="273" customWidth="1"/>
    <col min="7441" max="7441" width="10.5" style="273" customWidth="1"/>
    <col min="7442" max="7443" width="11.1640625" style="273" customWidth="1"/>
    <col min="7444" max="7444" width="12.6640625" style="273" customWidth="1"/>
    <col min="7445" max="7680" width="9.33203125" style="273"/>
    <col min="7681" max="7681" width="0" style="273" hidden="1" customWidth="1"/>
    <col min="7682" max="7682" width="6.33203125" style="273" customWidth="1"/>
    <col min="7683" max="7683" width="15.1640625" style="273" customWidth="1"/>
    <col min="7684" max="7684" width="4.6640625" style="273" bestFit="1" customWidth="1"/>
    <col min="7685" max="7685" width="7.5" style="273" customWidth="1"/>
    <col min="7686" max="7686" width="10.33203125" style="273" customWidth="1"/>
    <col min="7687" max="7687" width="5.5" style="273" customWidth="1"/>
    <col min="7688" max="7688" width="8.83203125" style="273" customWidth="1"/>
    <col min="7689" max="7689" width="8.6640625" style="273" customWidth="1"/>
    <col min="7690" max="7691" width="4.83203125" style="273" customWidth="1"/>
    <col min="7692" max="7692" width="10" style="273" customWidth="1"/>
    <col min="7693" max="7694" width="5.83203125" style="273" customWidth="1"/>
    <col min="7695" max="7695" width="10.83203125" style="273" customWidth="1"/>
    <col min="7696" max="7696" width="11.5" style="273" customWidth="1"/>
    <col min="7697" max="7697" width="10.5" style="273" customWidth="1"/>
    <col min="7698" max="7699" width="11.1640625" style="273" customWidth="1"/>
    <col min="7700" max="7700" width="12.6640625" style="273" customWidth="1"/>
    <col min="7701" max="7936" width="9.33203125" style="273"/>
    <col min="7937" max="7937" width="0" style="273" hidden="1" customWidth="1"/>
    <col min="7938" max="7938" width="6.33203125" style="273" customWidth="1"/>
    <col min="7939" max="7939" width="15.1640625" style="273" customWidth="1"/>
    <col min="7940" max="7940" width="4.6640625" style="273" bestFit="1" customWidth="1"/>
    <col min="7941" max="7941" width="7.5" style="273" customWidth="1"/>
    <col min="7942" max="7942" width="10.33203125" style="273" customWidth="1"/>
    <col min="7943" max="7943" width="5.5" style="273" customWidth="1"/>
    <col min="7944" max="7944" width="8.83203125" style="273" customWidth="1"/>
    <col min="7945" max="7945" width="8.6640625" style="273" customWidth="1"/>
    <col min="7946" max="7947" width="4.83203125" style="273" customWidth="1"/>
    <col min="7948" max="7948" width="10" style="273" customWidth="1"/>
    <col min="7949" max="7950" width="5.83203125" style="273" customWidth="1"/>
    <col min="7951" max="7951" width="10.83203125" style="273" customWidth="1"/>
    <col min="7952" max="7952" width="11.5" style="273" customWidth="1"/>
    <col min="7953" max="7953" width="10.5" style="273" customWidth="1"/>
    <col min="7954" max="7955" width="11.1640625" style="273" customWidth="1"/>
    <col min="7956" max="7956" width="12.6640625" style="273" customWidth="1"/>
    <col min="7957" max="8192" width="9.33203125" style="273"/>
    <col min="8193" max="8193" width="0" style="273" hidden="1" customWidth="1"/>
    <col min="8194" max="8194" width="6.33203125" style="273" customWidth="1"/>
    <col min="8195" max="8195" width="15.1640625" style="273" customWidth="1"/>
    <col min="8196" max="8196" width="4.6640625" style="273" bestFit="1" customWidth="1"/>
    <col min="8197" max="8197" width="7.5" style="273" customWidth="1"/>
    <col min="8198" max="8198" width="10.33203125" style="273" customWidth="1"/>
    <col min="8199" max="8199" width="5.5" style="273" customWidth="1"/>
    <col min="8200" max="8200" width="8.83203125" style="273" customWidth="1"/>
    <col min="8201" max="8201" width="8.6640625" style="273" customWidth="1"/>
    <col min="8202" max="8203" width="4.83203125" style="273" customWidth="1"/>
    <col min="8204" max="8204" width="10" style="273" customWidth="1"/>
    <col min="8205" max="8206" width="5.83203125" style="273" customWidth="1"/>
    <col min="8207" max="8207" width="10.83203125" style="273" customWidth="1"/>
    <col min="8208" max="8208" width="11.5" style="273" customWidth="1"/>
    <col min="8209" max="8209" width="10.5" style="273" customWidth="1"/>
    <col min="8210" max="8211" width="11.1640625" style="273" customWidth="1"/>
    <col min="8212" max="8212" width="12.6640625" style="273" customWidth="1"/>
    <col min="8213" max="8448" width="9.33203125" style="273"/>
    <col min="8449" max="8449" width="0" style="273" hidden="1" customWidth="1"/>
    <col min="8450" max="8450" width="6.33203125" style="273" customWidth="1"/>
    <col min="8451" max="8451" width="15.1640625" style="273" customWidth="1"/>
    <col min="8452" max="8452" width="4.6640625" style="273" bestFit="1" customWidth="1"/>
    <col min="8453" max="8453" width="7.5" style="273" customWidth="1"/>
    <col min="8454" max="8454" width="10.33203125" style="273" customWidth="1"/>
    <col min="8455" max="8455" width="5.5" style="273" customWidth="1"/>
    <col min="8456" max="8456" width="8.83203125" style="273" customWidth="1"/>
    <col min="8457" max="8457" width="8.6640625" style="273" customWidth="1"/>
    <col min="8458" max="8459" width="4.83203125" style="273" customWidth="1"/>
    <col min="8460" max="8460" width="10" style="273" customWidth="1"/>
    <col min="8461" max="8462" width="5.83203125" style="273" customWidth="1"/>
    <col min="8463" max="8463" width="10.83203125" style="273" customWidth="1"/>
    <col min="8464" max="8464" width="11.5" style="273" customWidth="1"/>
    <col min="8465" max="8465" width="10.5" style="273" customWidth="1"/>
    <col min="8466" max="8467" width="11.1640625" style="273" customWidth="1"/>
    <col min="8468" max="8468" width="12.6640625" style="273" customWidth="1"/>
    <col min="8469" max="8704" width="9.33203125" style="273"/>
    <col min="8705" max="8705" width="0" style="273" hidden="1" customWidth="1"/>
    <col min="8706" max="8706" width="6.33203125" style="273" customWidth="1"/>
    <col min="8707" max="8707" width="15.1640625" style="273" customWidth="1"/>
    <col min="8708" max="8708" width="4.6640625" style="273" bestFit="1" customWidth="1"/>
    <col min="8709" max="8709" width="7.5" style="273" customWidth="1"/>
    <col min="8710" max="8710" width="10.33203125" style="273" customWidth="1"/>
    <col min="8711" max="8711" width="5.5" style="273" customWidth="1"/>
    <col min="8712" max="8712" width="8.83203125" style="273" customWidth="1"/>
    <col min="8713" max="8713" width="8.6640625" style="273" customWidth="1"/>
    <col min="8714" max="8715" width="4.83203125" style="273" customWidth="1"/>
    <col min="8716" max="8716" width="10" style="273" customWidth="1"/>
    <col min="8717" max="8718" width="5.83203125" style="273" customWidth="1"/>
    <col min="8719" max="8719" width="10.83203125" style="273" customWidth="1"/>
    <col min="8720" max="8720" width="11.5" style="273" customWidth="1"/>
    <col min="8721" max="8721" width="10.5" style="273" customWidth="1"/>
    <col min="8722" max="8723" width="11.1640625" style="273" customWidth="1"/>
    <col min="8724" max="8724" width="12.6640625" style="273" customWidth="1"/>
    <col min="8725" max="8960" width="9.33203125" style="273"/>
    <col min="8961" max="8961" width="0" style="273" hidden="1" customWidth="1"/>
    <col min="8962" max="8962" width="6.33203125" style="273" customWidth="1"/>
    <col min="8963" max="8963" width="15.1640625" style="273" customWidth="1"/>
    <col min="8964" max="8964" width="4.6640625" style="273" bestFit="1" customWidth="1"/>
    <col min="8965" max="8965" width="7.5" style="273" customWidth="1"/>
    <col min="8966" max="8966" width="10.33203125" style="273" customWidth="1"/>
    <col min="8967" max="8967" width="5.5" style="273" customWidth="1"/>
    <col min="8968" max="8968" width="8.83203125" style="273" customWidth="1"/>
    <col min="8969" max="8969" width="8.6640625" style="273" customWidth="1"/>
    <col min="8970" max="8971" width="4.83203125" style="273" customWidth="1"/>
    <col min="8972" max="8972" width="10" style="273" customWidth="1"/>
    <col min="8973" max="8974" width="5.83203125" style="273" customWidth="1"/>
    <col min="8975" max="8975" width="10.83203125" style="273" customWidth="1"/>
    <col min="8976" max="8976" width="11.5" style="273" customWidth="1"/>
    <col min="8977" max="8977" width="10.5" style="273" customWidth="1"/>
    <col min="8978" max="8979" width="11.1640625" style="273" customWidth="1"/>
    <col min="8980" max="8980" width="12.6640625" style="273" customWidth="1"/>
    <col min="8981" max="9216" width="9.33203125" style="273"/>
    <col min="9217" max="9217" width="0" style="273" hidden="1" customWidth="1"/>
    <col min="9218" max="9218" width="6.33203125" style="273" customWidth="1"/>
    <col min="9219" max="9219" width="15.1640625" style="273" customWidth="1"/>
    <col min="9220" max="9220" width="4.6640625" style="273" bestFit="1" customWidth="1"/>
    <col min="9221" max="9221" width="7.5" style="273" customWidth="1"/>
    <col min="9222" max="9222" width="10.33203125" style="273" customWidth="1"/>
    <col min="9223" max="9223" width="5.5" style="273" customWidth="1"/>
    <col min="9224" max="9224" width="8.83203125" style="273" customWidth="1"/>
    <col min="9225" max="9225" width="8.6640625" style="273" customWidth="1"/>
    <col min="9226" max="9227" width="4.83203125" style="273" customWidth="1"/>
    <col min="9228" max="9228" width="10" style="273" customWidth="1"/>
    <col min="9229" max="9230" width="5.83203125" style="273" customWidth="1"/>
    <col min="9231" max="9231" width="10.83203125" style="273" customWidth="1"/>
    <col min="9232" max="9232" width="11.5" style="273" customWidth="1"/>
    <col min="9233" max="9233" width="10.5" style="273" customWidth="1"/>
    <col min="9234" max="9235" width="11.1640625" style="273" customWidth="1"/>
    <col min="9236" max="9236" width="12.6640625" style="273" customWidth="1"/>
    <col min="9237" max="9472" width="9.33203125" style="273"/>
    <col min="9473" max="9473" width="0" style="273" hidden="1" customWidth="1"/>
    <col min="9474" max="9474" width="6.33203125" style="273" customWidth="1"/>
    <col min="9475" max="9475" width="15.1640625" style="273" customWidth="1"/>
    <col min="9476" max="9476" width="4.6640625" style="273" bestFit="1" customWidth="1"/>
    <col min="9477" max="9477" width="7.5" style="273" customWidth="1"/>
    <col min="9478" max="9478" width="10.33203125" style="273" customWidth="1"/>
    <col min="9479" max="9479" width="5.5" style="273" customWidth="1"/>
    <col min="9480" max="9480" width="8.83203125" style="273" customWidth="1"/>
    <col min="9481" max="9481" width="8.6640625" style="273" customWidth="1"/>
    <col min="9482" max="9483" width="4.83203125" style="273" customWidth="1"/>
    <col min="9484" max="9484" width="10" style="273" customWidth="1"/>
    <col min="9485" max="9486" width="5.83203125" style="273" customWidth="1"/>
    <col min="9487" max="9487" width="10.83203125" style="273" customWidth="1"/>
    <col min="9488" max="9488" width="11.5" style="273" customWidth="1"/>
    <col min="9489" max="9489" width="10.5" style="273" customWidth="1"/>
    <col min="9490" max="9491" width="11.1640625" style="273" customWidth="1"/>
    <col min="9492" max="9492" width="12.6640625" style="273" customWidth="1"/>
    <col min="9493" max="9728" width="9.33203125" style="273"/>
    <col min="9729" max="9729" width="0" style="273" hidden="1" customWidth="1"/>
    <col min="9730" max="9730" width="6.33203125" style="273" customWidth="1"/>
    <col min="9731" max="9731" width="15.1640625" style="273" customWidth="1"/>
    <col min="9732" max="9732" width="4.6640625" style="273" bestFit="1" customWidth="1"/>
    <col min="9733" max="9733" width="7.5" style="273" customWidth="1"/>
    <col min="9734" max="9734" width="10.33203125" style="273" customWidth="1"/>
    <col min="9735" max="9735" width="5.5" style="273" customWidth="1"/>
    <col min="9736" max="9736" width="8.83203125" style="273" customWidth="1"/>
    <col min="9737" max="9737" width="8.6640625" style="273" customWidth="1"/>
    <col min="9738" max="9739" width="4.83203125" style="273" customWidth="1"/>
    <col min="9740" max="9740" width="10" style="273" customWidth="1"/>
    <col min="9741" max="9742" width="5.83203125" style="273" customWidth="1"/>
    <col min="9743" max="9743" width="10.83203125" style="273" customWidth="1"/>
    <col min="9744" max="9744" width="11.5" style="273" customWidth="1"/>
    <col min="9745" max="9745" width="10.5" style="273" customWidth="1"/>
    <col min="9746" max="9747" width="11.1640625" style="273" customWidth="1"/>
    <col min="9748" max="9748" width="12.6640625" style="273" customWidth="1"/>
    <col min="9749" max="9984" width="9.33203125" style="273"/>
    <col min="9985" max="9985" width="0" style="273" hidden="1" customWidth="1"/>
    <col min="9986" max="9986" width="6.33203125" style="273" customWidth="1"/>
    <col min="9987" max="9987" width="15.1640625" style="273" customWidth="1"/>
    <col min="9988" max="9988" width="4.6640625" style="273" bestFit="1" customWidth="1"/>
    <col min="9989" max="9989" width="7.5" style="273" customWidth="1"/>
    <col min="9990" max="9990" width="10.33203125" style="273" customWidth="1"/>
    <col min="9991" max="9991" width="5.5" style="273" customWidth="1"/>
    <col min="9992" max="9992" width="8.83203125" style="273" customWidth="1"/>
    <col min="9993" max="9993" width="8.6640625" style="273" customWidth="1"/>
    <col min="9994" max="9995" width="4.83203125" style="273" customWidth="1"/>
    <col min="9996" max="9996" width="10" style="273" customWidth="1"/>
    <col min="9997" max="9998" width="5.83203125" style="273" customWidth="1"/>
    <col min="9999" max="9999" width="10.83203125" style="273" customWidth="1"/>
    <col min="10000" max="10000" width="11.5" style="273" customWidth="1"/>
    <col min="10001" max="10001" width="10.5" style="273" customWidth="1"/>
    <col min="10002" max="10003" width="11.1640625" style="273" customWidth="1"/>
    <col min="10004" max="10004" width="12.6640625" style="273" customWidth="1"/>
    <col min="10005" max="10240" width="9.33203125" style="273"/>
    <col min="10241" max="10241" width="0" style="273" hidden="1" customWidth="1"/>
    <col min="10242" max="10242" width="6.33203125" style="273" customWidth="1"/>
    <col min="10243" max="10243" width="15.1640625" style="273" customWidth="1"/>
    <col min="10244" max="10244" width="4.6640625" style="273" bestFit="1" customWidth="1"/>
    <col min="10245" max="10245" width="7.5" style="273" customWidth="1"/>
    <col min="10246" max="10246" width="10.33203125" style="273" customWidth="1"/>
    <col min="10247" max="10247" width="5.5" style="273" customWidth="1"/>
    <col min="10248" max="10248" width="8.83203125" style="273" customWidth="1"/>
    <col min="10249" max="10249" width="8.6640625" style="273" customWidth="1"/>
    <col min="10250" max="10251" width="4.83203125" style="273" customWidth="1"/>
    <col min="10252" max="10252" width="10" style="273" customWidth="1"/>
    <col min="10253" max="10254" width="5.83203125" style="273" customWidth="1"/>
    <col min="10255" max="10255" width="10.83203125" style="273" customWidth="1"/>
    <col min="10256" max="10256" width="11.5" style="273" customWidth="1"/>
    <col min="10257" max="10257" width="10.5" style="273" customWidth="1"/>
    <col min="10258" max="10259" width="11.1640625" style="273" customWidth="1"/>
    <col min="10260" max="10260" width="12.6640625" style="273" customWidth="1"/>
    <col min="10261" max="10496" width="9.33203125" style="273"/>
    <col min="10497" max="10497" width="0" style="273" hidden="1" customWidth="1"/>
    <col min="10498" max="10498" width="6.33203125" style="273" customWidth="1"/>
    <col min="10499" max="10499" width="15.1640625" style="273" customWidth="1"/>
    <col min="10500" max="10500" width="4.6640625" style="273" bestFit="1" customWidth="1"/>
    <col min="10501" max="10501" width="7.5" style="273" customWidth="1"/>
    <col min="10502" max="10502" width="10.33203125" style="273" customWidth="1"/>
    <col min="10503" max="10503" width="5.5" style="273" customWidth="1"/>
    <col min="10504" max="10504" width="8.83203125" style="273" customWidth="1"/>
    <col min="10505" max="10505" width="8.6640625" style="273" customWidth="1"/>
    <col min="10506" max="10507" width="4.83203125" style="273" customWidth="1"/>
    <col min="10508" max="10508" width="10" style="273" customWidth="1"/>
    <col min="10509" max="10510" width="5.83203125" style="273" customWidth="1"/>
    <col min="10511" max="10511" width="10.83203125" style="273" customWidth="1"/>
    <col min="10512" max="10512" width="11.5" style="273" customWidth="1"/>
    <col min="10513" max="10513" width="10.5" style="273" customWidth="1"/>
    <col min="10514" max="10515" width="11.1640625" style="273" customWidth="1"/>
    <col min="10516" max="10516" width="12.6640625" style="273" customWidth="1"/>
    <col min="10517" max="10752" width="9.33203125" style="273"/>
    <col min="10753" max="10753" width="0" style="273" hidden="1" customWidth="1"/>
    <col min="10754" max="10754" width="6.33203125" style="273" customWidth="1"/>
    <col min="10755" max="10755" width="15.1640625" style="273" customWidth="1"/>
    <col min="10756" max="10756" width="4.6640625" style="273" bestFit="1" customWidth="1"/>
    <col min="10757" max="10757" width="7.5" style="273" customWidth="1"/>
    <col min="10758" max="10758" width="10.33203125" style="273" customWidth="1"/>
    <col min="10759" max="10759" width="5.5" style="273" customWidth="1"/>
    <col min="10760" max="10760" width="8.83203125" style="273" customWidth="1"/>
    <col min="10761" max="10761" width="8.6640625" style="273" customWidth="1"/>
    <col min="10762" max="10763" width="4.83203125" style="273" customWidth="1"/>
    <col min="10764" max="10764" width="10" style="273" customWidth="1"/>
    <col min="10765" max="10766" width="5.83203125" style="273" customWidth="1"/>
    <col min="10767" max="10767" width="10.83203125" style="273" customWidth="1"/>
    <col min="10768" max="10768" width="11.5" style="273" customWidth="1"/>
    <col min="10769" max="10769" width="10.5" style="273" customWidth="1"/>
    <col min="10770" max="10771" width="11.1640625" style="273" customWidth="1"/>
    <col min="10772" max="10772" width="12.6640625" style="273" customWidth="1"/>
    <col min="10773" max="11008" width="9.33203125" style="273"/>
    <col min="11009" max="11009" width="0" style="273" hidden="1" customWidth="1"/>
    <col min="11010" max="11010" width="6.33203125" style="273" customWidth="1"/>
    <col min="11011" max="11011" width="15.1640625" style="273" customWidth="1"/>
    <col min="11012" max="11012" width="4.6640625" style="273" bestFit="1" customWidth="1"/>
    <col min="11013" max="11013" width="7.5" style="273" customWidth="1"/>
    <col min="11014" max="11014" width="10.33203125" style="273" customWidth="1"/>
    <col min="11015" max="11015" width="5.5" style="273" customWidth="1"/>
    <col min="11016" max="11016" width="8.83203125" style="273" customWidth="1"/>
    <col min="11017" max="11017" width="8.6640625" style="273" customWidth="1"/>
    <col min="11018" max="11019" width="4.83203125" style="273" customWidth="1"/>
    <col min="11020" max="11020" width="10" style="273" customWidth="1"/>
    <col min="11021" max="11022" width="5.83203125" style="273" customWidth="1"/>
    <col min="11023" max="11023" width="10.83203125" style="273" customWidth="1"/>
    <col min="11024" max="11024" width="11.5" style="273" customWidth="1"/>
    <col min="11025" max="11025" width="10.5" style="273" customWidth="1"/>
    <col min="11026" max="11027" width="11.1640625" style="273" customWidth="1"/>
    <col min="11028" max="11028" width="12.6640625" style="273" customWidth="1"/>
    <col min="11029" max="11264" width="9.33203125" style="273"/>
    <col min="11265" max="11265" width="0" style="273" hidden="1" customWidth="1"/>
    <col min="11266" max="11266" width="6.33203125" style="273" customWidth="1"/>
    <col min="11267" max="11267" width="15.1640625" style="273" customWidth="1"/>
    <col min="11268" max="11268" width="4.6640625" style="273" bestFit="1" customWidth="1"/>
    <col min="11269" max="11269" width="7.5" style="273" customWidth="1"/>
    <col min="11270" max="11270" width="10.33203125" style="273" customWidth="1"/>
    <col min="11271" max="11271" width="5.5" style="273" customWidth="1"/>
    <col min="11272" max="11272" width="8.83203125" style="273" customWidth="1"/>
    <col min="11273" max="11273" width="8.6640625" style="273" customWidth="1"/>
    <col min="11274" max="11275" width="4.83203125" style="273" customWidth="1"/>
    <col min="11276" max="11276" width="10" style="273" customWidth="1"/>
    <col min="11277" max="11278" width="5.83203125" style="273" customWidth="1"/>
    <col min="11279" max="11279" width="10.83203125" style="273" customWidth="1"/>
    <col min="11280" max="11280" width="11.5" style="273" customWidth="1"/>
    <col min="11281" max="11281" width="10.5" style="273" customWidth="1"/>
    <col min="11282" max="11283" width="11.1640625" style="273" customWidth="1"/>
    <col min="11284" max="11284" width="12.6640625" style="273" customWidth="1"/>
    <col min="11285" max="11520" width="9.33203125" style="273"/>
    <col min="11521" max="11521" width="0" style="273" hidden="1" customWidth="1"/>
    <col min="11522" max="11522" width="6.33203125" style="273" customWidth="1"/>
    <col min="11523" max="11523" width="15.1640625" style="273" customWidth="1"/>
    <col min="11524" max="11524" width="4.6640625" style="273" bestFit="1" customWidth="1"/>
    <col min="11525" max="11525" width="7.5" style="273" customWidth="1"/>
    <col min="11526" max="11526" width="10.33203125" style="273" customWidth="1"/>
    <col min="11527" max="11527" width="5.5" style="273" customWidth="1"/>
    <col min="11528" max="11528" width="8.83203125" style="273" customWidth="1"/>
    <col min="11529" max="11529" width="8.6640625" style="273" customWidth="1"/>
    <col min="11530" max="11531" width="4.83203125" style="273" customWidth="1"/>
    <col min="11532" max="11532" width="10" style="273" customWidth="1"/>
    <col min="11533" max="11534" width="5.83203125" style="273" customWidth="1"/>
    <col min="11535" max="11535" width="10.83203125" style="273" customWidth="1"/>
    <col min="11536" max="11536" width="11.5" style="273" customWidth="1"/>
    <col min="11537" max="11537" width="10.5" style="273" customWidth="1"/>
    <col min="11538" max="11539" width="11.1640625" style="273" customWidth="1"/>
    <col min="11540" max="11540" width="12.6640625" style="273" customWidth="1"/>
    <col min="11541" max="11776" width="9.33203125" style="273"/>
    <col min="11777" max="11777" width="0" style="273" hidden="1" customWidth="1"/>
    <col min="11778" max="11778" width="6.33203125" style="273" customWidth="1"/>
    <col min="11779" max="11779" width="15.1640625" style="273" customWidth="1"/>
    <col min="11780" max="11780" width="4.6640625" style="273" bestFit="1" customWidth="1"/>
    <col min="11781" max="11781" width="7.5" style="273" customWidth="1"/>
    <col min="11782" max="11782" width="10.33203125" style="273" customWidth="1"/>
    <col min="11783" max="11783" width="5.5" style="273" customWidth="1"/>
    <col min="11784" max="11784" width="8.83203125" style="273" customWidth="1"/>
    <col min="11785" max="11785" width="8.6640625" style="273" customWidth="1"/>
    <col min="11786" max="11787" width="4.83203125" style="273" customWidth="1"/>
    <col min="11788" max="11788" width="10" style="273" customWidth="1"/>
    <col min="11789" max="11790" width="5.83203125" style="273" customWidth="1"/>
    <col min="11791" max="11791" width="10.83203125" style="273" customWidth="1"/>
    <col min="11792" max="11792" width="11.5" style="273" customWidth="1"/>
    <col min="11793" max="11793" width="10.5" style="273" customWidth="1"/>
    <col min="11794" max="11795" width="11.1640625" style="273" customWidth="1"/>
    <col min="11796" max="11796" width="12.6640625" style="273" customWidth="1"/>
    <col min="11797" max="12032" width="9.33203125" style="273"/>
    <col min="12033" max="12033" width="0" style="273" hidden="1" customWidth="1"/>
    <col min="12034" max="12034" width="6.33203125" style="273" customWidth="1"/>
    <col min="12035" max="12035" width="15.1640625" style="273" customWidth="1"/>
    <col min="12036" max="12036" width="4.6640625" style="273" bestFit="1" customWidth="1"/>
    <col min="12037" max="12037" width="7.5" style="273" customWidth="1"/>
    <col min="12038" max="12038" width="10.33203125" style="273" customWidth="1"/>
    <col min="12039" max="12039" width="5.5" style="273" customWidth="1"/>
    <col min="12040" max="12040" width="8.83203125" style="273" customWidth="1"/>
    <col min="12041" max="12041" width="8.6640625" style="273" customWidth="1"/>
    <col min="12042" max="12043" width="4.83203125" style="273" customWidth="1"/>
    <col min="12044" max="12044" width="10" style="273" customWidth="1"/>
    <col min="12045" max="12046" width="5.83203125" style="273" customWidth="1"/>
    <col min="12047" max="12047" width="10.83203125" style="273" customWidth="1"/>
    <col min="12048" max="12048" width="11.5" style="273" customWidth="1"/>
    <col min="12049" max="12049" width="10.5" style="273" customWidth="1"/>
    <col min="12050" max="12051" width="11.1640625" style="273" customWidth="1"/>
    <col min="12052" max="12052" width="12.6640625" style="273" customWidth="1"/>
    <col min="12053" max="12288" width="9.33203125" style="273"/>
    <col min="12289" max="12289" width="0" style="273" hidden="1" customWidth="1"/>
    <col min="12290" max="12290" width="6.33203125" style="273" customWidth="1"/>
    <col min="12291" max="12291" width="15.1640625" style="273" customWidth="1"/>
    <col min="12292" max="12292" width="4.6640625" style="273" bestFit="1" customWidth="1"/>
    <col min="12293" max="12293" width="7.5" style="273" customWidth="1"/>
    <col min="12294" max="12294" width="10.33203125" style="273" customWidth="1"/>
    <col min="12295" max="12295" width="5.5" style="273" customWidth="1"/>
    <col min="12296" max="12296" width="8.83203125" style="273" customWidth="1"/>
    <col min="12297" max="12297" width="8.6640625" style="273" customWidth="1"/>
    <col min="12298" max="12299" width="4.83203125" style="273" customWidth="1"/>
    <col min="12300" max="12300" width="10" style="273" customWidth="1"/>
    <col min="12301" max="12302" width="5.83203125" style="273" customWidth="1"/>
    <col min="12303" max="12303" width="10.83203125" style="273" customWidth="1"/>
    <col min="12304" max="12304" width="11.5" style="273" customWidth="1"/>
    <col min="12305" max="12305" width="10.5" style="273" customWidth="1"/>
    <col min="12306" max="12307" width="11.1640625" style="273" customWidth="1"/>
    <col min="12308" max="12308" width="12.6640625" style="273" customWidth="1"/>
    <col min="12309" max="12544" width="9.33203125" style="273"/>
    <col min="12545" max="12545" width="0" style="273" hidden="1" customWidth="1"/>
    <col min="12546" max="12546" width="6.33203125" style="273" customWidth="1"/>
    <col min="12547" max="12547" width="15.1640625" style="273" customWidth="1"/>
    <col min="12548" max="12548" width="4.6640625" style="273" bestFit="1" customWidth="1"/>
    <col min="12549" max="12549" width="7.5" style="273" customWidth="1"/>
    <col min="12550" max="12550" width="10.33203125" style="273" customWidth="1"/>
    <col min="12551" max="12551" width="5.5" style="273" customWidth="1"/>
    <col min="12552" max="12552" width="8.83203125" style="273" customWidth="1"/>
    <col min="12553" max="12553" width="8.6640625" style="273" customWidth="1"/>
    <col min="12554" max="12555" width="4.83203125" style="273" customWidth="1"/>
    <col min="12556" max="12556" width="10" style="273" customWidth="1"/>
    <col min="12557" max="12558" width="5.83203125" style="273" customWidth="1"/>
    <col min="12559" max="12559" width="10.83203125" style="273" customWidth="1"/>
    <col min="12560" max="12560" width="11.5" style="273" customWidth="1"/>
    <col min="12561" max="12561" width="10.5" style="273" customWidth="1"/>
    <col min="12562" max="12563" width="11.1640625" style="273" customWidth="1"/>
    <col min="12564" max="12564" width="12.6640625" style="273" customWidth="1"/>
    <col min="12565" max="12800" width="9.33203125" style="273"/>
    <col min="12801" max="12801" width="0" style="273" hidden="1" customWidth="1"/>
    <col min="12802" max="12802" width="6.33203125" style="273" customWidth="1"/>
    <col min="12803" max="12803" width="15.1640625" style="273" customWidth="1"/>
    <col min="12804" max="12804" width="4.6640625" style="273" bestFit="1" customWidth="1"/>
    <col min="12805" max="12805" width="7.5" style="273" customWidth="1"/>
    <col min="12806" max="12806" width="10.33203125" style="273" customWidth="1"/>
    <col min="12807" max="12807" width="5.5" style="273" customWidth="1"/>
    <col min="12808" max="12808" width="8.83203125" style="273" customWidth="1"/>
    <col min="12809" max="12809" width="8.6640625" style="273" customWidth="1"/>
    <col min="12810" max="12811" width="4.83203125" style="273" customWidth="1"/>
    <col min="12812" max="12812" width="10" style="273" customWidth="1"/>
    <col min="12813" max="12814" width="5.83203125" style="273" customWidth="1"/>
    <col min="12815" max="12815" width="10.83203125" style="273" customWidth="1"/>
    <col min="12816" max="12816" width="11.5" style="273" customWidth="1"/>
    <col min="12817" max="12817" width="10.5" style="273" customWidth="1"/>
    <col min="12818" max="12819" width="11.1640625" style="273" customWidth="1"/>
    <col min="12820" max="12820" width="12.6640625" style="273" customWidth="1"/>
    <col min="12821" max="13056" width="9.33203125" style="273"/>
    <col min="13057" max="13057" width="0" style="273" hidden="1" customWidth="1"/>
    <col min="13058" max="13058" width="6.33203125" style="273" customWidth="1"/>
    <col min="13059" max="13059" width="15.1640625" style="273" customWidth="1"/>
    <col min="13060" max="13060" width="4.6640625" style="273" bestFit="1" customWidth="1"/>
    <col min="13061" max="13061" width="7.5" style="273" customWidth="1"/>
    <col min="13062" max="13062" width="10.33203125" style="273" customWidth="1"/>
    <col min="13063" max="13063" width="5.5" style="273" customWidth="1"/>
    <col min="13064" max="13064" width="8.83203125" style="273" customWidth="1"/>
    <col min="13065" max="13065" width="8.6640625" style="273" customWidth="1"/>
    <col min="13066" max="13067" width="4.83203125" style="273" customWidth="1"/>
    <col min="13068" max="13068" width="10" style="273" customWidth="1"/>
    <col min="13069" max="13070" width="5.83203125" style="273" customWidth="1"/>
    <col min="13071" max="13071" width="10.83203125" style="273" customWidth="1"/>
    <col min="13072" max="13072" width="11.5" style="273" customWidth="1"/>
    <col min="13073" max="13073" width="10.5" style="273" customWidth="1"/>
    <col min="13074" max="13075" width="11.1640625" style="273" customWidth="1"/>
    <col min="13076" max="13076" width="12.6640625" style="273" customWidth="1"/>
    <col min="13077" max="13312" width="9.33203125" style="273"/>
    <col min="13313" max="13313" width="0" style="273" hidden="1" customWidth="1"/>
    <col min="13314" max="13314" width="6.33203125" style="273" customWidth="1"/>
    <col min="13315" max="13315" width="15.1640625" style="273" customWidth="1"/>
    <col min="13316" max="13316" width="4.6640625" style="273" bestFit="1" customWidth="1"/>
    <col min="13317" max="13317" width="7.5" style="273" customWidth="1"/>
    <col min="13318" max="13318" width="10.33203125" style="273" customWidth="1"/>
    <col min="13319" max="13319" width="5.5" style="273" customWidth="1"/>
    <col min="13320" max="13320" width="8.83203125" style="273" customWidth="1"/>
    <col min="13321" max="13321" width="8.6640625" style="273" customWidth="1"/>
    <col min="13322" max="13323" width="4.83203125" style="273" customWidth="1"/>
    <col min="13324" max="13324" width="10" style="273" customWidth="1"/>
    <col min="13325" max="13326" width="5.83203125" style="273" customWidth="1"/>
    <col min="13327" max="13327" width="10.83203125" style="273" customWidth="1"/>
    <col min="13328" max="13328" width="11.5" style="273" customWidth="1"/>
    <col min="13329" max="13329" width="10.5" style="273" customWidth="1"/>
    <col min="13330" max="13331" width="11.1640625" style="273" customWidth="1"/>
    <col min="13332" max="13332" width="12.6640625" style="273" customWidth="1"/>
    <col min="13333" max="13568" width="9.33203125" style="273"/>
    <col min="13569" max="13569" width="0" style="273" hidden="1" customWidth="1"/>
    <col min="13570" max="13570" width="6.33203125" style="273" customWidth="1"/>
    <col min="13571" max="13571" width="15.1640625" style="273" customWidth="1"/>
    <col min="13572" max="13572" width="4.6640625" style="273" bestFit="1" customWidth="1"/>
    <col min="13573" max="13573" width="7.5" style="273" customWidth="1"/>
    <col min="13574" max="13574" width="10.33203125" style="273" customWidth="1"/>
    <col min="13575" max="13575" width="5.5" style="273" customWidth="1"/>
    <col min="13576" max="13576" width="8.83203125" style="273" customWidth="1"/>
    <col min="13577" max="13577" width="8.6640625" style="273" customWidth="1"/>
    <col min="13578" max="13579" width="4.83203125" style="273" customWidth="1"/>
    <col min="13580" max="13580" width="10" style="273" customWidth="1"/>
    <col min="13581" max="13582" width="5.83203125" style="273" customWidth="1"/>
    <col min="13583" max="13583" width="10.83203125" style="273" customWidth="1"/>
    <col min="13584" max="13584" width="11.5" style="273" customWidth="1"/>
    <col min="13585" max="13585" width="10.5" style="273" customWidth="1"/>
    <col min="13586" max="13587" width="11.1640625" style="273" customWidth="1"/>
    <col min="13588" max="13588" width="12.6640625" style="273" customWidth="1"/>
    <col min="13589" max="13824" width="9.33203125" style="273"/>
    <col min="13825" max="13825" width="0" style="273" hidden="1" customWidth="1"/>
    <col min="13826" max="13826" width="6.33203125" style="273" customWidth="1"/>
    <col min="13827" max="13827" width="15.1640625" style="273" customWidth="1"/>
    <col min="13828" max="13828" width="4.6640625" style="273" bestFit="1" customWidth="1"/>
    <col min="13829" max="13829" width="7.5" style="273" customWidth="1"/>
    <col min="13830" max="13830" width="10.33203125" style="273" customWidth="1"/>
    <col min="13831" max="13831" width="5.5" style="273" customWidth="1"/>
    <col min="13832" max="13832" width="8.83203125" style="273" customWidth="1"/>
    <col min="13833" max="13833" width="8.6640625" style="273" customWidth="1"/>
    <col min="13834" max="13835" width="4.83203125" style="273" customWidth="1"/>
    <col min="13836" max="13836" width="10" style="273" customWidth="1"/>
    <col min="13837" max="13838" width="5.83203125" style="273" customWidth="1"/>
    <col min="13839" max="13839" width="10.83203125" style="273" customWidth="1"/>
    <col min="13840" max="13840" width="11.5" style="273" customWidth="1"/>
    <col min="13841" max="13841" width="10.5" style="273" customWidth="1"/>
    <col min="13842" max="13843" width="11.1640625" style="273" customWidth="1"/>
    <col min="13844" max="13844" width="12.6640625" style="273" customWidth="1"/>
    <col min="13845" max="14080" width="9.33203125" style="273"/>
    <col min="14081" max="14081" width="0" style="273" hidden="1" customWidth="1"/>
    <col min="14082" max="14082" width="6.33203125" style="273" customWidth="1"/>
    <col min="14083" max="14083" width="15.1640625" style="273" customWidth="1"/>
    <col min="14084" max="14084" width="4.6640625" style="273" bestFit="1" customWidth="1"/>
    <col min="14085" max="14085" width="7.5" style="273" customWidth="1"/>
    <col min="14086" max="14086" width="10.33203125" style="273" customWidth="1"/>
    <col min="14087" max="14087" width="5.5" style="273" customWidth="1"/>
    <col min="14088" max="14088" width="8.83203125" style="273" customWidth="1"/>
    <col min="14089" max="14089" width="8.6640625" style="273" customWidth="1"/>
    <col min="14090" max="14091" width="4.83203125" style="273" customWidth="1"/>
    <col min="14092" max="14092" width="10" style="273" customWidth="1"/>
    <col min="14093" max="14094" width="5.83203125" style="273" customWidth="1"/>
    <col min="14095" max="14095" width="10.83203125" style="273" customWidth="1"/>
    <col min="14096" max="14096" width="11.5" style="273" customWidth="1"/>
    <col min="14097" max="14097" width="10.5" style="273" customWidth="1"/>
    <col min="14098" max="14099" width="11.1640625" style="273" customWidth="1"/>
    <col min="14100" max="14100" width="12.6640625" style="273" customWidth="1"/>
    <col min="14101" max="14336" width="9.33203125" style="273"/>
    <col min="14337" max="14337" width="0" style="273" hidden="1" customWidth="1"/>
    <col min="14338" max="14338" width="6.33203125" style="273" customWidth="1"/>
    <col min="14339" max="14339" width="15.1640625" style="273" customWidth="1"/>
    <col min="14340" max="14340" width="4.6640625" style="273" bestFit="1" customWidth="1"/>
    <col min="14341" max="14341" width="7.5" style="273" customWidth="1"/>
    <col min="14342" max="14342" width="10.33203125" style="273" customWidth="1"/>
    <col min="14343" max="14343" width="5.5" style="273" customWidth="1"/>
    <col min="14344" max="14344" width="8.83203125" style="273" customWidth="1"/>
    <col min="14345" max="14345" width="8.6640625" style="273" customWidth="1"/>
    <col min="14346" max="14347" width="4.83203125" style="273" customWidth="1"/>
    <col min="14348" max="14348" width="10" style="273" customWidth="1"/>
    <col min="14349" max="14350" width="5.83203125" style="273" customWidth="1"/>
    <col min="14351" max="14351" width="10.83203125" style="273" customWidth="1"/>
    <col min="14352" max="14352" width="11.5" style="273" customWidth="1"/>
    <col min="14353" max="14353" width="10.5" style="273" customWidth="1"/>
    <col min="14354" max="14355" width="11.1640625" style="273" customWidth="1"/>
    <col min="14356" max="14356" width="12.6640625" style="273" customWidth="1"/>
    <col min="14357" max="14592" width="9.33203125" style="273"/>
    <col min="14593" max="14593" width="0" style="273" hidden="1" customWidth="1"/>
    <col min="14594" max="14594" width="6.33203125" style="273" customWidth="1"/>
    <col min="14595" max="14595" width="15.1640625" style="273" customWidth="1"/>
    <col min="14596" max="14596" width="4.6640625" style="273" bestFit="1" customWidth="1"/>
    <col min="14597" max="14597" width="7.5" style="273" customWidth="1"/>
    <col min="14598" max="14598" width="10.33203125" style="273" customWidth="1"/>
    <col min="14599" max="14599" width="5.5" style="273" customWidth="1"/>
    <col min="14600" max="14600" width="8.83203125" style="273" customWidth="1"/>
    <col min="14601" max="14601" width="8.6640625" style="273" customWidth="1"/>
    <col min="14602" max="14603" width="4.83203125" style="273" customWidth="1"/>
    <col min="14604" max="14604" width="10" style="273" customWidth="1"/>
    <col min="14605" max="14606" width="5.83203125" style="273" customWidth="1"/>
    <col min="14607" max="14607" width="10.83203125" style="273" customWidth="1"/>
    <col min="14608" max="14608" width="11.5" style="273" customWidth="1"/>
    <col min="14609" max="14609" width="10.5" style="273" customWidth="1"/>
    <col min="14610" max="14611" width="11.1640625" style="273" customWidth="1"/>
    <col min="14612" max="14612" width="12.6640625" style="273" customWidth="1"/>
    <col min="14613" max="14848" width="9.33203125" style="273"/>
    <col min="14849" max="14849" width="0" style="273" hidden="1" customWidth="1"/>
    <col min="14850" max="14850" width="6.33203125" style="273" customWidth="1"/>
    <col min="14851" max="14851" width="15.1640625" style="273" customWidth="1"/>
    <col min="14852" max="14852" width="4.6640625" style="273" bestFit="1" customWidth="1"/>
    <col min="14853" max="14853" width="7.5" style="273" customWidth="1"/>
    <col min="14854" max="14854" width="10.33203125" style="273" customWidth="1"/>
    <col min="14855" max="14855" width="5.5" style="273" customWidth="1"/>
    <col min="14856" max="14856" width="8.83203125" style="273" customWidth="1"/>
    <col min="14857" max="14857" width="8.6640625" style="273" customWidth="1"/>
    <col min="14858" max="14859" width="4.83203125" style="273" customWidth="1"/>
    <col min="14860" max="14860" width="10" style="273" customWidth="1"/>
    <col min="14861" max="14862" width="5.83203125" style="273" customWidth="1"/>
    <col min="14863" max="14863" width="10.83203125" style="273" customWidth="1"/>
    <col min="14864" max="14864" width="11.5" style="273" customWidth="1"/>
    <col min="14865" max="14865" width="10.5" style="273" customWidth="1"/>
    <col min="14866" max="14867" width="11.1640625" style="273" customWidth="1"/>
    <col min="14868" max="14868" width="12.6640625" style="273" customWidth="1"/>
    <col min="14869" max="15104" width="9.33203125" style="273"/>
    <col min="15105" max="15105" width="0" style="273" hidden="1" customWidth="1"/>
    <col min="15106" max="15106" width="6.33203125" style="273" customWidth="1"/>
    <col min="15107" max="15107" width="15.1640625" style="273" customWidth="1"/>
    <col min="15108" max="15108" width="4.6640625" style="273" bestFit="1" customWidth="1"/>
    <col min="15109" max="15109" width="7.5" style="273" customWidth="1"/>
    <col min="15110" max="15110" width="10.33203125" style="273" customWidth="1"/>
    <col min="15111" max="15111" width="5.5" style="273" customWidth="1"/>
    <col min="15112" max="15112" width="8.83203125" style="273" customWidth="1"/>
    <col min="15113" max="15113" width="8.6640625" style="273" customWidth="1"/>
    <col min="15114" max="15115" width="4.83203125" style="273" customWidth="1"/>
    <col min="15116" max="15116" width="10" style="273" customWidth="1"/>
    <col min="15117" max="15118" width="5.83203125" style="273" customWidth="1"/>
    <col min="15119" max="15119" width="10.83203125" style="273" customWidth="1"/>
    <col min="15120" max="15120" width="11.5" style="273" customWidth="1"/>
    <col min="15121" max="15121" width="10.5" style="273" customWidth="1"/>
    <col min="15122" max="15123" width="11.1640625" style="273" customWidth="1"/>
    <col min="15124" max="15124" width="12.6640625" style="273" customWidth="1"/>
    <col min="15125" max="15360" width="9.33203125" style="273"/>
    <col min="15361" max="15361" width="0" style="273" hidden="1" customWidth="1"/>
    <col min="15362" max="15362" width="6.33203125" style="273" customWidth="1"/>
    <col min="15363" max="15363" width="15.1640625" style="273" customWidth="1"/>
    <col min="15364" max="15364" width="4.6640625" style="273" bestFit="1" customWidth="1"/>
    <col min="15365" max="15365" width="7.5" style="273" customWidth="1"/>
    <col min="15366" max="15366" width="10.33203125" style="273" customWidth="1"/>
    <col min="15367" max="15367" width="5.5" style="273" customWidth="1"/>
    <col min="15368" max="15368" width="8.83203125" style="273" customWidth="1"/>
    <col min="15369" max="15369" width="8.6640625" style="273" customWidth="1"/>
    <col min="15370" max="15371" width="4.83203125" style="273" customWidth="1"/>
    <col min="15372" max="15372" width="10" style="273" customWidth="1"/>
    <col min="15373" max="15374" width="5.83203125" style="273" customWidth="1"/>
    <col min="15375" max="15375" width="10.83203125" style="273" customWidth="1"/>
    <col min="15376" max="15376" width="11.5" style="273" customWidth="1"/>
    <col min="15377" max="15377" width="10.5" style="273" customWidth="1"/>
    <col min="15378" max="15379" width="11.1640625" style="273" customWidth="1"/>
    <col min="15380" max="15380" width="12.6640625" style="273" customWidth="1"/>
    <col min="15381" max="15616" width="9.33203125" style="273"/>
    <col min="15617" max="15617" width="0" style="273" hidden="1" customWidth="1"/>
    <col min="15618" max="15618" width="6.33203125" style="273" customWidth="1"/>
    <col min="15619" max="15619" width="15.1640625" style="273" customWidth="1"/>
    <col min="15620" max="15620" width="4.6640625" style="273" bestFit="1" customWidth="1"/>
    <col min="15621" max="15621" width="7.5" style="273" customWidth="1"/>
    <col min="15622" max="15622" width="10.33203125" style="273" customWidth="1"/>
    <col min="15623" max="15623" width="5.5" style="273" customWidth="1"/>
    <col min="15624" max="15624" width="8.83203125" style="273" customWidth="1"/>
    <col min="15625" max="15625" width="8.6640625" style="273" customWidth="1"/>
    <col min="15626" max="15627" width="4.83203125" style="273" customWidth="1"/>
    <col min="15628" max="15628" width="10" style="273" customWidth="1"/>
    <col min="15629" max="15630" width="5.83203125" style="273" customWidth="1"/>
    <col min="15631" max="15631" width="10.83203125" style="273" customWidth="1"/>
    <col min="15632" max="15632" width="11.5" style="273" customWidth="1"/>
    <col min="15633" max="15633" width="10.5" style="273" customWidth="1"/>
    <col min="15634" max="15635" width="11.1640625" style="273" customWidth="1"/>
    <col min="15636" max="15636" width="12.6640625" style="273" customWidth="1"/>
    <col min="15637" max="15872" width="9.33203125" style="273"/>
    <col min="15873" max="15873" width="0" style="273" hidden="1" customWidth="1"/>
    <col min="15874" max="15874" width="6.33203125" style="273" customWidth="1"/>
    <col min="15875" max="15875" width="15.1640625" style="273" customWidth="1"/>
    <col min="15876" max="15876" width="4.6640625" style="273" bestFit="1" customWidth="1"/>
    <col min="15877" max="15877" width="7.5" style="273" customWidth="1"/>
    <col min="15878" max="15878" width="10.33203125" style="273" customWidth="1"/>
    <col min="15879" max="15879" width="5.5" style="273" customWidth="1"/>
    <col min="15880" max="15880" width="8.83203125" style="273" customWidth="1"/>
    <col min="15881" max="15881" width="8.6640625" style="273" customWidth="1"/>
    <col min="15882" max="15883" width="4.83203125" style="273" customWidth="1"/>
    <col min="15884" max="15884" width="10" style="273" customWidth="1"/>
    <col min="15885" max="15886" width="5.83203125" style="273" customWidth="1"/>
    <col min="15887" max="15887" width="10.83203125" style="273" customWidth="1"/>
    <col min="15888" max="15888" width="11.5" style="273" customWidth="1"/>
    <col min="15889" max="15889" width="10.5" style="273" customWidth="1"/>
    <col min="15890" max="15891" width="11.1640625" style="273" customWidth="1"/>
    <col min="15892" max="15892" width="12.6640625" style="273" customWidth="1"/>
    <col min="15893" max="16128" width="9.33203125" style="273"/>
    <col min="16129" max="16129" width="0" style="273" hidden="1" customWidth="1"/>
    <col min="16130" max="16130" width="6.33203125" style="273" customWidth="1"/>
    <col min="16131" max="16131" width="15.1640625" style="273" customWidth="1"/>
    <col min="16132" max="16132" width="4.6640625" style="273" bestFit="1" customWidth="1"/>
    <col min="16133" max="16133" width="7.5" style="273" customWidth="1"/>
    <col min="16134" max="16134" width="10.33203125" style="273" customWidth="1"/>
    <col min="16135" max="16135" width="5.5" style="273" customWidth="1"/>
    <col min="16136" max="16136" width="8.83203125" style="273" customWidth="1"/>
    <col min="16137" max="16137" width="8.6640625" style="273" customWidth="1"/>
    <col min="16138" max="16139" width="4.83203125" style="273" customWidth="1"/>
    <col min="16140" max="16140" width="10" style="273" customWidth="1"/>
    <col min="16141" max="16142" width="5.83203125" style="273" customWidth="1"/>
    <col min="16143" max="16143" width="10.83203125" style="273" customWidth="1"/>
    <col min="16144" max="16144" width="11.5" style="273" customWidth="1"/>
    <col min="16145" max="16145" width="10.5" style="273" customWidth="1"/>
    <col min="16146" max="16147" width="11.1640625" style="273" customWidth="1"/>
    <col min="16148" max="16148" width="12.6640625" style="273" customWidth="1"/>
    <col min="16149" max="16384" width="9.33203125" style="273"/>
  </cols>
  <sheetData>
    <row r="1" spans="1:20" s="226" customFormat="1" ht="20.25">
      <c r="C1" s="1073" t="s">
        <v>339</v>
      </c>
      <c r="D1" s="1073"/>
      <c r="E1" s="1073"/>
      <c r="F1" s="1073"/>
      <c r="G1" s="1073"/>
      <c r="H1" s="1073"/>
      <c r="I1" s="1073"/>
      <c r="J1" s="1073"/>
      <c r="K1" s="1073"/>
      <c r="L1" s="1073"/>
      <c r="M1" s="1073"/>
      <c r="N1" s="1073"/>
      <c r="O1" s="1073"/>
      <c r="P1" s="1073"/>
      <c r="Q1" s="1073"/>
      <c r="R1" s="1073"/>
      <c r="S1" s="1073"/>
      <c r="T1" s="1073"/>
    </row>
    <row r="2" spans="1:20" s="227" customFormat="1" ht="18.75">
      <c r="B2" s="228"/>
      <c r="C2" s="1074" t="s">
        <v>499</v>
      </c>
      <c r="D2" s="1074"/>
      <c r="E2" s="1074"/>
      <c r="F2" s="1074"/>
      <c r="G2" s="1074"/>
      <c r="H2" s="1074"/>
      <c r="I2" s="1074"/>
      <c r="J2" s="1074"/>
      <c r="K2" s="1074"/>
      <c r="L2" s="1074"/>
      <c r="M2" s="1074"/>
      <c r="N2" s="1074"/>
      <c r="O2" s="1074"/>
      <c r="P2" s="1074"/>
      <c r="Q2" s="1074"/>
      <c r="R2" s="1074"/>
      <c r="S2" s="1074"/>
      <c r="T2" s="1074"/>
    </row>
    <row r="3" spans="1:20" s="229" customFormat="1">
      <c r="B3" s="230"/>
      <c r="C3" s="231" t="s">
        <v>340</v>
      </c>
      <c r="D3" s="231" t="s">
        <v>341</v>
      </c>
      <c r="E3" s="232" t="s">
        <v>342</v>
      </c>
      <c r="F3" s="231" t="s">
        <v>343</v>
      </c>
      <c r="G3" s="231" t="s">
        <v>344</v>
      </c>
      <c r="H3" s="233" t="s">
        <v>345</v>
      </c>
      <c r="I3" s="234"/>
      <c r="J3" s="234"/>
      <c r="K3" s="235"/>
      <c r="L3" s="236" t="s">
        <v>346</v>
      </c>
      <c r="M3" s="232" t="s">
        <v>347</v>
      </c>
      <c r="N3" s="237" t="s">
        <v>348</v>
      </c>
      <c r="O3" s="232" t="s">
        <v>349</v>
      </c>
      <c r="P3" s="238" t="s">
        <v>350</v>
      </c>
      <c r="Q3" s="239" t="s">
        <v>296</v>
      </c>
      <c r="R3" s="240" t="s">
        <v>296</v>
      </c>
      <c r="S3" s="241" t="s">
        <v>351</v>
      </c>
      <c r="T3" s="231" t="s">
        <v>351</v>
      </c>
    </row>
    <row r="4" spans="1:20" s="229" customFormat="1">
      <c r="B4" s="242" t="s">
        <v>352</v>
      </c>
      <c r="C4" s="243" t="s">
        <v>353</v>
      </c>
      <c r="D4" s="243" t="s">
        <v>354</v>
      </c>
      <c r="E4" s="244" t="s">
        <v>355</v>
      </c>
      <c r="F4" s="243" t="s">
        <v>353</v>
      </c>
      <c r="G4" s="243" t="s">
        <v>356</v>
      </c>
      <c r="H4" s="1075" t="s">
        <v>357</v>
      </c>
      <c r="I4" s="1076"/>
      <c r="J4" s="234" t="s">
        <v>358</v>
      </c>
      <c r="K4" s="234"/>
      <c r="L4" s="245" t="s">
        <v>359</v>
      </c>
      <c r="M4" s="244" t="s">
        <v>360</v>
      </c>
      <c r="N4" s="232" t="s">
        <v>361</v>
      </c>
      <c r="O4" s="244" t="s">
        <v>362</v>
      </c>
      <c r="P4" s="246" t="s">
        <v>363</v>
      </c>
      <c r="Q4" s="247" t="s">
        <v>364</v>
      </c>
      <c r="R4" s="248" t="s">
        <v>365</v>
      </c>
      <c r="S4" s="249" t="s">
        <v>366</v>
      </c>
      <c r="T4" s="243" t="s">
        <v>367</v>
      </c>
    </row>
    <row r="5" spans="1:20" s="229" customFormat="1">
      <c r="B5" s="250"/>
      <c r="C5" s="251"/>
      <c r="D5" s="251" t="s">
        <v>95</v>
      </c>
      <c r="E5" s="252" t="s">
        <v>368</v>
      </c>
      <c r="F5" s="251"/>
      <c r="G5" s="251" t="s">
        <v>369</v>
      </c>
      <c r="H5" s="253" t="s">
        <v>370</v>
      </c>
      <c r="I5" s="254" t="s">
        <v>371</v>
      </c>
      <c r="J5" s="254" t="s">
        <v>370</v>
      </c>
      <c r="K5" s="254" t="s">
        <v>371</v>
      </c>
      <c r="L5" s="255" t="s">
        <v>372</v>
      </c>
      <c r="M5" s="256"/>
      <c r="N5" s="244" t="s">
        <v>360</v>
      </c>
      <c r="O5" s="257" t="s">
        <v>373</v>
      </c>
      <c r="P5" s="258" t="s">
        <v>374</v>
      </c>
      <c r="Q5" s="259" t="s">
        <v>375</v>
      </c>
      <c r="R5" s="260" t="s">
        <v>375</v>
      </c>
      <c r="S5" s="261"/>
      <c r="T5" s="251"/>
    </row>
    <row r="6" spans="1:20" hidden="1">
      <c r="A6" s="262" t="s">
        <v>376</v>
      </c>
      <c r="B6" s="305" t="s">
        <v>377</v>
      </c>
      <c r="C6" s="263" t="s">
        <v>378</v>
      </c>
      <c r="D6" s="263" t="s">
        <v>89</v>
      </c>
      <c r="E6" s="264">
        <v>1E-3</v>
      </c>
      <c r="F6" s="265" t="s">
        <v>379</v>
      </c>
      <c r="G6" s="266">
        <v>46</v>
      </c>
      <c r="H6" s="263">
        <f>+G6-J6</f>
        <v>46</v>
      </c>
      <c r="I6" s="264" t="e">
        <f>+VLOOKUP($G6,DGVC,IF($H$4="LOAÏI 2",3,IF($H$4="LOAÏI 3",4,IF($H$4="LOAÏI 4",5,IF($H$4="LOAÏI 1",2,6)))),0)</f>
        <v>#NAME?</v>
      </c>
      <c r="J6" s="267">
        <v>0</v>
      </c>
      <c r="K6" s="264">
        <f>+IF($J6=0,0,VLOOKUP($G6,DGVC,IF($J$4="LOAÏI 2",3,IF($J$4="LOAÏI 3",4,IF($J$4="LOAÏI 4",5,IF($J$4="LOAÏI 1",2,6)))),0))</f>
        <v>0</v>
      </c>
      <c r="L6" s="268" t="e">
        <f>E6*(H6*I6+J6*K6)</f>
        <v>#NAME?</v>
      </c>
      <c r="M6" s="264">
        <v>3</v>
      </c>
      <c r="N6" s="264">
        <v>1.3</v>
      </c>
      <c r="O6" s="269" t="e">
        <f>+((L6*N6*15%)+(1500*E6))*0</f>
        <v>#NAME?</v>
      </c>
      <c r="P6" s="269" t="e">
        <f>+L6*N6+O6</f>
        <v>#NAME?</v>
      </c>
      <c r="Q6" s="270">
        <f>12000*E6</f>
        <v>12</v>
      </c>
      <c r="R6" s="270" t="e">
        <f>IF(O6=0,12000*E6,"Ñoå ben")</f>
        <v>#NAME?</v>
      </c>
      <c r="S6" s="271">
        <v>1272.7270000000001</v>
      </c>
      <c r="T6" s="272" t="e">
        <f>IF(O6=0,P6+Q6+R6+S6,P6+Q6+S6)</f>
        <v>#NAME?</v>
      </c>
    </row>
    <row r="7" spans="1:20">
      <c r="A7" s="262"/>
      <c r="B7" s="306" t="s">
        <v>380</v>
      </c>
      <c r="C7" s="306" t="s">
        <v>381</v>
      </c>
      <c r="D7" s="306" t="s">
        <v>89</v>
      </c>
      <c r="E7" s="306">
        <v>1E-3</v>
      </c>
      <c r="F7" s="307" t="s">
        <v>382</v>
      </c>
      <c r="G7" s="306">
        <v>12</v>
      </c>
      <c r="H7" s="306">
        <f t="shared" ref="H7:H39" si="0">+G7-J7</f>
        <v>0</v>
      </c>
      <c r="I7" s="306"/>
      <c r="J7" s="306">
        <f>+G7</f>
        <v>12</v>
      </c>
      <c r="K7" s="324">
        <f>4799/1.1</f>
        <v>4362.7272727272721</v>
      </c>
      <c r="L7" s="308">
        <f>E7*(H7*I7+J7*K7)</f>
        <v>52.352727272727265</v>
      </c>
      <c r="M7" s="306">
        <v>3</v>
      </c>
      <c r="N7" s="306">
        <v>1.3</v>
      </c>
      <c r="O7" s="309">
        <f>+((L7*N7*15%)+(1500*E7))*0</f>
        <v>0</v>
      </c>
      <c r="P7" s="309">
        <f>+L7*N7+O7</f>
        <v>68.058545454545452</v>
      </c>
      <c r="Q7" s="309">
        <f>12000*E7</f>
        <v>12</v>
      </c>
      <c r="R7" s="309">
        <f>IF(O7=0,12000*E7,"Ñoå ben")</f>
        <v>12</v>
      </c>
      <c r="S7" s="310">
        <v>1500</v>
      </c>
      <c r="T7" s="310">
        <f t="shared" ref="T7:T39" si="1">IF(O7=0,P7+Q7+R7+S7,P7+Q7+S7)</f>
        <v>1592.0585454545455</v>
      </c>
    </row>
    <row r="8" spans="1:20" hidden="1">
      <c r="A8" s="262" t="s">
        <v>383</v>
      </c>
      <c r="B8" s="306" t="s">
        <v>384</v>
      </c>
      <c r="C8" s="306" t="s">
        <v>385</v>
      </c>
      <c r="D8" s="306" t="s">
        <v>89</v>
      </c>
      <c r="E8" s="306">
        <v>1E-3</v>
      </c>
      <c r="F8" s="307" t="s">
        <v>386</v>
      </c>
      <c r="G8" s="306">
        <v>10</v>
      </c>
      <c r="H8" s="306">
        <f t="shared" si="0"/>
        <v>0</v>
      </c>
      <c r="I8" s="306"/>
      <c r="J8" s="306">
        <f t="shared" ref="J8:J20" si="2">+G8</f>
        <v>10</v>
      </c>
      <c r="K8" s="306" t="e">
        <f>+IF($J8=0,0,VLOOKUP($G8,DGVC,IF($J$4="LOAÏI 2",3,IF($J$4="LOAÏI 3",4,IF($J$4="LOAÏI 4",5,IF($J$4="LOAÏI 1",2,6)))),0))</f>
        <v>#NAME?</v>
      </c>
      <c r="L8" s="308" t="e">
        <f>E8*(H8*I8+J8*K8)</f>
        <v>#NAME?</v>
      </c>
      <c r="M8" s="306">
        <v>3</v>
      </c>
      <c r="N8" s="306">
        <v>1.3</v>
      </c>
      <c r="O8" s="309" t="e">
        <f>+((L8*N8*15%)+(1500*E8))*0</f>
        <v>#NAME?</v>
      </c>
      <c r="P8" s="309" t="e">
        <f t="shared" ref="P8:P39" si="3">+L8*N8+O8</f>
        <v>#NAME?</v>
      </c>
      <c r="Q8" s="309">
        <f>12000*E8</f>
        <v>12</v>
      </c>
      <c r="R8" s="309" t="e">
        <f>IF(O8=0,12000*E8,"Ñoå ben")</f>
        <v>#NAME?</v>
      </c>
      <c r="S8" s="310">
        <v>3636</v>
      </c>
      <c r="T8" s="310" t="e">
        <f t="shared" si="1"/>
        <v>#NAME?</v>
      </c>
    </row>
    <row r="9" spans="1:20" hidden="1">
      <c r="A9" s="262" t="s">
        <v>387</v>
      </c>
      <c r="B9" s="306" t="s">
        <v>388</v>
      </c>
      <c r="C9" s="306" t="s">
        <v>389</v>
      </c>
      <c r="D9" s="306" t="s">
        <v>91</v>
      </c>
      <c r="E9" s="306">
        <v>1.55</v>
      </c>
      <c r="F9" s="307" t="s">
        <v>390</v>
      </c>
      <c r="G9" s="306">
        <v>15</v>
      </c>
      <c r="H9" s="306">
        <f t="shared" si="0"/>
        <v>0</v>
      </c>
      <c r="I9" s="306"/>
      <c r="J9" s="306">
        <f>+G9</f>
        <v>15</v>
      </c>
      <c r="K9" s="324">
        <f>4171/1.1</f>
        <v>3791.8181818181815</v>
      </c>
      <c r="L9" s="308">
        <f t="shared" ref="L9:L39" si="4">E9*(H9*I9+J9*K9)</f>
        <v>88159.772727272721</v>
      </c>
      <c r="M9" s="306">
        <v>2</v>
      </c>
      <c r="N9" s="306">
        <v>1.1000000000000001</v>
      </c>
      <c r="O9" s="309">
        <f>+(L9*N9*15%)+(3000*E9)</f>
        <v>19196.362499999999</v>
      </c>
      <c r="P9" s="309">
        <f>+L9*N9+O9</f>
        <v>116172.1125</v>
      </c>
      <c r="Q9" s="309">
        <f>12000*E9*0</f>
        <v>0</v>
      </c>
      <c r="R9" s="309" t="str">
        <f>IF(O9=0,12000*E9,"Ñoå ben")</f>
        <v>Ñoå ben</v>
      </c>
      <c r="S9" s="310">
        <v>190909</v>
      </c>
      <c r="T9" s="310">
        <f t="shared" si="1"/>
        <v>307081.11249999999</v>
      </c>
    </row>
    <row r="10" spans="1:20">
      <c r="A10" s="262" t="s">
        <v>391</v>
      </c>
      <c r="B10" s="306" t="s">
        <v>392</v>
      </c>
      <c r="C10" s="306" t="s">
        <v>393</v>
      </c>
      <c r="D10" s="306" t="s">
        <v>91</v>
      </c>
      <c r="E10" s="306">
        <v>1.6</v>
      </c>
      <c r="F10" s="307" t="s">
        <v>390</v>
      </c>
      <c r="G10" s="306">
        <v>15</v>
      </c>
      <c r="H10" s="306">
        <f t="shared" si="0"/>
        <v>0</v>
      </c>
      <c r="I10" s="306"/>
      <c r="J10" s="306">
        <f>+G10</f>
        <v>15</v>
      </c>
      <c r="K10" s="324">
        <f>4171/1.1</f>
        <v>3791.8181818181815</v>
      </c>
      <c r="L10" s="308">
        <f t="shared" si="4"/>
        <v>91003.636363636353</v>
      </c>
      <c r="M10" s="306">
        <v>2</v>
      </c>
      <c r="N10" s="306">
        <v>1.1000000000000001</v>
      </c>
      <c r="O10" s="309">
        <f t="shared" ref="O10:O15" si="5">+(L10*N10*15%)+(3000*E10)</f>
        <v>19815.599999999999</v>
      </c>
      <c r="P10" s="309">
        <f t="shared" si="3"/>
        <v>119919.6</v>
      </c>
      <c r="Q10" s="309">
        <f>12000*E10*0</f>
        <v>0</v>
      </c>
      <c r="R10" s="309" t="str">
        <f t="shared" ref="R10:R37" si="6">IF(O10=0,12000*E10,"Ñoå ben")</f>
        <v>Ñoå ben</v>
      </c>
      <c r="S10" s="310">
        <v>250000</v>
      </c>
      <c r="T10" s="310">
        <f t="shared" si="1"/>
        <v>369919.6</v>
      </c>
    </row>
    <row r="11" spans="1:20" hidden="1">
      <c r="A11" s="278"/>
      <c r="B11" s="306" t="s">
        <v>392</v>
      </c>
      <c r="C11" s="306" t="s">
        <v>394</v>
      </c>
      <c r="D11" s="306" t="s">
        <v>91</v>
      </c>
      <c r="E11" s="306">
        <v>1.6</v>
      </c>
      <c r="F11" s="307" t="s">
        <v>395</v>
      </c>
      <c r="G11" s="306">
        <v>23</v>
      </c>
      <c r="H11" s="306">
        <f t="shared" si="0"/>
        <v>0</v>
      </c>
      <c r="I11" s="306"/>
      <c r="J11" s="306">
        <f t="shared" si="2"/>
        <v>23</v>
      </c>
      <c r="K11" s="324">
        <f>3150/1.1</f>
        <v>2863.6363636363635</v>
      </c>
      <c r="L11" s="308">
        <f>E11*(H11*I11+J11*K11)</f>
        <v>105381.81818181819</v>
      </c>
      <c r="M11" s="306">
        <v>2</v>
      </c>
      <c r="N11" s="306">
        <v>1.1000000000000001</v>
      </c>
      <c r="O11" s="309">
        <f t="shared" si="5"/>
        <v>22188</v>
      </c>
      <c r="P11" s="309">
        <f>+L11*N11+O11</f>
        <v>138108</v>
      </c>
      <c r="Q11" s="309">
        <f>10000*E11*0</f>
        <v>0</v>
      </c>
      <c r="R11" s="309" t="str">
        <f t="shared" si="6"/>
        <v>Ñoå ben</v>
      </c>
      <c r="S11" s="310">
        <v>130000</v>
      </c>
      <c r="T11" s="310">
        <f t="shared" si="1"/>
        <v>268108</v>
      </c>
    </row>
    <row r="12" spans="1:20" hidden="1">
      <c r="A12" s="278"/>
      <c r="B12" s="306"/>
      <c r="C12" s="306"/>
      <c r="D12" s="306"/>
      <c r="E12" s="306"/>
      <c r="F12" s="307"/>
      <c r="G12" s="306"/>
      <c r="H12" s="306"/>
      <c r="I12" s="306"/>
      <c r="J12" s="306"/>
      <c r="K12" s="324"/>
      <c r="L12" s="308"/>
      <c r="M12" s="306"/>
      <c r="N12" s="306"/>
      <c r="O12" s="309"/>
      <c r="P12" s="309"/>
      <c r="Q12" s="309"/>
      <c r="R12" s="309"/>
      <c r="S12" s="310"/>
      <c r="T12" s="310"/>
    </row>
    <row r="13" spans="1:20" hidden="1">
      <c r="A13" s="278"/>
      <c r="B13" s="306" t="s">
        <v>396</v>
      </c>
      <c r="C13" s="306" t="s">
        <v>397</v>
      </c>
      <c r="D13" s="306" t="s">
        <v>91</v>
      </c>
      <c r="E13" s="306">
        <v>1.4</v>
      </c>
      <c r="F13" s="307" t="s">
        <v>477</v>
      </c>
      <c r="G13" s="306">
        <v>35</v>
      </c>
      <c r="H13" s="306">
        <f>+G13-J13</f>
        <v>0</v>
      </c>
      <c r="I13" s="306"/>
      <c r="J13" s="306">
        <f t="shared" si="2"/>
        <v>35</v>
      </c>
      <c r="K13" s="306">
        <v>4739</v>
      </c>
      <c r="L13" s="308">
        <f t="shared" si="4"/>
        <v>232210.99999999997</v>
      </c>
      <c r="M13" s="306">
        <v>1</v>
      </c>
      <c r="N13" s="306">
        <v>1</v>
      </c>
      <c r="O13" s="309">
        <f t="shared" si="5"/>
        <v>39031.649999999994</v>
      </c>
      <c r="P13" s="309">
        <f t="shared" si="3"/>
        <v>271242.64999999997</v>
      </c>
      <c r="Q13" s="309">
        <f>12000*E13*0</f>
        <v>0</v>
      </c>
      <c r="R13" s="309" t="str">
        <f t="shared" si="6"/>
        <v>Ñoå ben</v>
      </c>
      <c r="S13" s="310">
        <v>31818</v>
      </c>
      <c r="T13" s="310">
        <f t="shared" si="1"/>
        <v>303060.64999999997</v>
      </c>
    </row>
    <row r="14" spans="1:20" hidden="1">
      <c r="A14" s="262" t="s">
        <v>398</v>
      </c>
      <c r="B14" s="306" t="s">
        <v>399</v>
      </c>
      <c r="C14" s="306" t="s">
        <v>400</v>
      </c>
      <c r="D14" s="306" t="s">
        <v>401</v>
      </c>
      <c r="E14" s="306">
        <v>0.02</v>
      </c>
      <c r="F14" s="307" t="s">
        <v>390</v>
      </c>
      <c r="G14" s="306">
        <v>35</v>
      </c>
      <c r="H14" s="306">
        <f t="shared" si="0"/>
        <v>0</v>
      </c>
      <c r="I14" s="306"/>
      <c r="J14" s="306">
        <f t="shared" si="2"/>
        <v>35</v>
      </c>
      <c r="K14" s="306">
        <v>4739</v>
      </c>
      <c r="L14" s="308">
        <f t="shared" si="4"/>
        <v>3317.3</v>
      </c>
      <c r="M14" s="306">
        <v>2</v>
      </c>
      <c r="N14" s="306">
        <v>1.1000000000000001</v>
      </c>
      <c r="O14" s="309">
        <f t="shared" si="5"/>
        <v>607.35450000000003</v>
      </c>
      <c r="P14" s="309">
        <f t="shared" si="3"/>
        <v>4256.384500000001</v>
      </c>
      <c r="Q14" s="309">
        <f>12000*E14</f>
        <v>240</v>
      </c>
      <c r="R14" s="309" t="str">
        <f t="shared" si="6"/>
        <v>Ñoå ben</v>
      </c>
      <c r="S14" s="310">
        <v>3800</v>
      </c>
      <c r="T14" s="310">
        <f t="shared" si="1"/>
        <v>8296.3845000000001</v>
      </c>
    </row>
    <row r="15" spans="1:20">
      <c r="A15" s="262" t="s">
        <v>402</v>
      </c>
      <c r="B15" s="306" t="s">
        <v>396</v>
      </c>
      <c r="C15" s="306" t="s">
        <v>403</v>
      </c>
      <c r="D15" s="306" t="s">
        <v>91</v>
      </c>
      <c r="E15" s="306">
        <v>1.4</v>
      </c>
      <c r="F15" s="307" t="s">
        <v>404</v>
      </c>
      <c r="G15" s="306">
        <v>23</v>
      </c>
      <c r="H15" s="306">
        <f t="shared" si="0"/>
        <v>0</v>
      </c>
      <c r="I15" s="306"/>
      <c r="J15" s="306">
        <f>+G15</f>
        <v>23</v>
      </c>
      <c r="K15" s="324">
        <f>3150/1.1</f>
        <v>2863.6363636363635</v>
      </c>
      <c r="L15" s="308">
        <f t="shared" si="4"/>
        <v>92209.090909090912</v>
      </c>
      <c r="M15" s="306">
        <v>1</v>
      </c>
      <c r="N15" s="306">
        <v>1</v>
      </c>
      <c r="O15" s="309">
        <f t="shared" si="5"/>
        <v>18031.363636363636</v>
      </c>
      <c r="P15" s="309">
        <f t="shared" si="3"/>
        <v>110240.45454545454</v>
      </c>
      <c r="Q15" s="309">
        <f>12000*E15*0</f>
        <v>0</v>
      </c>
      <c r="R15" s="309" t="str">
        <f t="shared" si="6"/>
        <v>Ñoå ben</v>
      </c>
      <c r="S15" s="325">
        <v>182000</v>
      </c>
      <c r="T15" s="310">
        <f t="shared" si="1"/>
        <v>292240.45454545453</v>
      </c>
    </row>
    <row r="16" spans="1:20" hidden="1">
      <c r="A16" s="262" t="s">
        <v>405</v>
      </c>
      <c r="B16" s="306" t="s">
        <v>406</v>
      </c>
      <c r="C16" s="306" t="s">
        <v>407</v>
      </c>
      <c r="D16" s="306" t="s">
        <v>89</v>
      </c>
      <c r="E16" s="306">
        <v>1E-3</v>
      </c>
      <c r="F16" s="307" t="s">
        <v>386</v>
      </c>
      <c r="G16" s="306">
        <v>20</v>
      </c>
      <c r="H16" s="306">
        <f t="shared" si="0"/>
        <v>0</v>
      </c>
      <c r="I16" s="306"/>
      <c r="J16" s="306">
        <f t="shared" si="2"/>
        <v>20</v>
      </c>
      <c r="K16" s="306">
        <v>7629</v>
      </c>
      <c r="L16" s="308">
        <f t="shared" si="4"/>
        <v>152.58000000000001</v>
      </c>
      <c r="M16" s="306">
        <v>2</v>
      </c>
      <c r="N16" s="306">
        <v>1.1000000000000001</v>
      </c>
      <c r="O16" s="309">
        <f t="shared" ref="O16:O39" si="7">+((L16*N16*15%)+(1500*E16))*0</f>
        <v>0</v>
      </c>
      <c r="P16" s="309">
        <f t="shared" si="3"/>
        <v>167.83800000000002</v>
      </c>
      <c r="Q16" s="309">
        <f t="shared" ref="Q16:Q37" si="8">12000*E16</f>
        <v>12</v>
      </c>
      <c r="R16" s="309">
        <f t="shared" si="6"/>
        <v>12</v>
      </c>
      <c r="S16" s="310">
        <v>13182</v>
      </c>
      <c r="T16" s="310">
        <f t="shared" si="1"/>
        <v>13373.838</v>
      </c>
    </row>
    <row r="17" spans="1:20" hidden="1">
      <c r="A17" s="262" t="s">
        <v>408</v>
      </c>
      <c r="B17" s="306" t="s">
        <v>409</v>
      </c>
      <c r="C17" s="306" t="s">
        <v>410</v>
      </c>
      <c r="D17" s="306" t="s">
        <v>89</v>
      </c>
      <c r="E17" s="306">
        <v>1E-3</v>
      </c>
      <c r="F17" s="307" t="s">
        <v>386</v>
      </c>
      <c r="G17" s="306">
        <v>10</v>
      </c>
      <c r="H17" s="306">
        <f t="shared" si="0"/>
        <v>0</v>
      </c>
      <c r="I17" s="306"/>
      <c r="J17" s="306">
        <f t="shared" si="2"/>
        <v>10</v>
      </c>
      <c r="K17" s="306">
        <v>7629</v>
      </c>
      <c r="L17" s="308">
        <f t="shared" si="4"/>
        <v>76.290000000000006</v>
      </c>
      <c r="M17" s="306">
        <v>2</v>
      </c>
      <c r="N17" s="306">
        <v>1.1000000000000001</v>
      </c>
      <c r="O17" s="309">
        <f t="shared" si="7"/>
        <v>0</v>
      </c>
      <c r="P17" s="309">
        <f t="shared" si="3"/>
        <v>83.919000000000011</v>
      </c>
      <c r="Q17" s="309">
        <f t="shared" si="8"/>
        <v>12</v>
      </c>
      <c r="R17" s="309">
        <f t="shared" si="6"/>
        <v>12</v>
      </c>
      <c r="S17" s="310">
        <v>14710</v>
      </c>
      <c r="T17" s="310">
        <f>IF(O17=0,P17+Q17+R17+S17,P17+Q17+S17)</f>
        <v>14817.919</v>
      </c>
    </row>
    <row r="18" spans="1:20" hidden="1">
      <c r="A18" s="262" t="s">
        <v>411</v>
      </c>
      <c r="B18" s="306" t="s">
        <v>412</v>
      </c>
      <c r="C18" s="306" t="s">
        <v>413</v>
      </c>
      <c r="D18" s="306" t="s">
        <v>89</v>
      </c>
      <c r="E18" s="306">
        <v>1E-3</v>
      </c>
      <c r="F18" s="307" t="s">
        <v>386</v>
      </c>
      <c r="G18" s="306">
        <v>10</v>
      </c>
      <c r="H18" s="306">
        <f t="shared" si="0"/>
        <v>0</v>
      </c>
      <c r="I18" s="306"/>
      <c r="J18" s="306">
        <f t="shared" si="2"/>
        <v>10</v>
      </c>
      <c r="K18" s="306">
        <v>7629</v>
      </c>
      <c r="L18" s="308">
        <f t="shared" si="4"/>
        <v>76.290000000000006</v>
      </c>
      <c r="M18" s="306">
        <v>2</v>
      </c>
      <c r="N18" s="306">
        <v>1.1000000000000001</v>
      </c>
      <c r="O18" s="309">
        <f t="shared" si="7"/>
        <v>0</v>
      </c>
      <c r="P18" s="309">
        <f t="shared" si="3"/>
        <v>83.919000000000011</v>
      </c>
      <c r="Q18" s="309">
        <f t="shared" si="8"/>
        <v>12</v>
      </c>
      <c r="R18" s="309">
        <f t="shared" si="6"/>
        <v>12</v>
      </c>
      <c r="S18" s="310">
        <v>14400</v>
      </c>
      <c r="T18" s="310">
        <f t="shared" si="1"/>
        <v>14507.919</v>
      </c>
    </row>
    <row r="19" spans="1:20" hidden="1">
      <c r="A19" s="262" t="s">
        <v>414</v>
      </c>
      <c r="B19" s="306" t="s">
        <v>415</v>
      </c>
      <c r="C19" s="306" t="s">
        <v>416</v>
      </c>
      <c r="D19" s="306" t="s">
        <v>89</v>
      </c>
      <c r="E19" s="306">
        <v>1E-3</v>
      </c>
      <c r="F19" s="307" t="s">
        <v>386</v>
      </c>
      <c r="G19" s="306">
        <v>10</v>
      </c>
      <c r="H19" s="306">
        <f t="shared" si="0"/>
        <v>0</v>
      </c>
      <c r="I19" s="306"/>
      <c r="J19" s="306">
        <f t="shared" si="2"/>
        <v>10</v>
      </c>
      <c r="K19" s="306">
        <v>7629</v>
      </c>
      <c r="L19" s="308">
        <f>E19*(H19*I19+J19*K19)</f>
        <v>76.290000000000006</v>
      </c>
      <c r="M19" s="306">
        <v>2</v>
      </c>
      <c r="N19" s="306">
        <v>1.1000000000000001</v>
      </c>
      <c r="O19" s="309">
        <f t="shared" si="7"/>
        <v>0</v>
      </c>
      <c r="P19" s="309">
        <f t="shared" si="3"/>
        <v>83.919000000000011</v>
      </c>
      <c r="Q19" s="309">
        <f t="shared" si="8"/>
        <v>12</v>
      </c>
      <c r="R19" s="309">
        <f t="shared" si="6"/>
        <v>12</v>
      </c>
      <c r="S19" s="310">
        <v>16480</v>
      </c>
      <c r="T19" s="310">
        <f t="shared" si="1"/>
        <v>16587.919000000002</v>
      </c>
    </row>
    <row r="20" spans="1:20" hidden="1">
      <c r="A20" s="279" t="s">
        <v>417</v>
      </c>
      <c r="B20" s="306" t="s">
        <v>418</v>
      </c>
      <c r="C20" s="306" t="s">
        <v>419</v>
      </c>
      <c r="D20" s="306" t="s">
        <v>89</v>
      </c>
      <c r="E20" s="306">
        <v>1E-3</v>
      </c>
      <c r="F20" s="307" t="s">
        <v>386</v>
      </c>
      <c r="G20" s="306">
        <v>10</v>
      </c>
      <c r="H20" s="306">
        <f t="shared" si="0"/>
        <v>0</v>
      </c>
      <c r="I20" s="306"/>
      <c r="J20" s="306">
        <f t="shared" si="2"/>
        <v>10</v>
      </c>
      <c r="K20" s="306">
        <v>7629</v>
      </c>
      <c r="L20" s="308">
        <f>E20*(H20*I20+J20*K20)</f>
        <v>76.290000000000006</v>
      </c>
      <c r="M20" s="306">
        <v>2</v>
      </c>
      <c r="N20" s="306">
        <v>1.1000000000000001</v>
      </c>
      <c r="O20" s="309">
        <f t="shared" si="7"/>
        <v>0</v>
      </c>
      <c r="P20" s="309">
        <f t="shared" si="3"/>
        <v>83.919000000000011</v>
      </c>
      <c r="Q20" s="309">
        <f t="shared" si="8"/>
        <v>12</v>
      </c>
      <c r="R20" s="309">
        <f t="shared" si="6"/>
        <v>12</v>
      </c>
      <c r="S20" s="310">
        <v>15455</v>
      </c>
      <c r="T20" s="310">
        <f t="shared" si="1"/>
        <v>15562.919</v>
      </c>
    </row>
    <row r="21" spans="1:20">
      <c r="A21" s="262" t="s">
        <v>420</v>
      </c>
      <c r="B21" s="306" t="s">
        <v>421</v>
      </c>
      <c r="C21" s="306" t="s">
        <v>422</v>
      </c>
      <c r="D21" s="306" t="s">
        <v>91</v>
      </c>
      <c r="E21" s="306">
        <v>0.96</v>
      </c>
      <c r="F21" s="311" t="s">
        <v>386</v>
      </c>
      <c r="G21" s="306">
        <v>12</v>
      </c>
      <c r="H21" s="306">
        <f t="shared" si="0"/>
        <v>0</v>
      </c>
      <c r="I21" s="306"/>
      <c r="J21" s="306">
        <f>+G21</f>
        <v>12</v>
      </c>
      <c r="K21" s="324">
        <f>K7</f>
        <v>4362.7272727272721</v>
      </c>
      <c r="L21" s="308">
        <f t="shared" si="4"/>
        <v>50258.618181818172</v>
      </c>
      <c r="M21" s="306">
        <v>2</v>
      </c>
      <c r="N21" s="306">
        <v>1.1000000000000001</v>
      </c>
      <c r="O21" s="309">
        <f t="shared" si="7"/>
        <v>0</v>
      </c>
      <c r="P21" s="309">
        <f t="shared" si="3"/>
        <v>55284.479999999996</v>
      </c>
      <c r="Q21" s="309">
        <f t="shared" si="8"/>
        <v>11520</v>
      </c>
      <c r="R21" s="309">
        <f t="shared" si="6"/>
        <v>11520</v>
      </c>
      <c r="S21" s="310">
        <v>3000000</v>
      </c>
      <c r="T21" s="310">
        <f t="shared" si="1"/>
        <v>3078324.48</v>
      </c>
    </row>
    <row r="22" spans="1:20" hidden="1">
      <c r="A22" s="262" t="s">
        <v>423</v>
      </c>
      <c r="B22" s="284" t="s">
        <v>424</v>
      </c>
      <c r="C22" s="285" t="s">
        <v>425</v>
      </c>
      <c r="D22" s="285" t="s">
        <v>91</v>
      </c>
      <c r="E22" s="285">
        <v>0.96</v>
      </c>
      <c r="F22" s="286" t="s">
        <v>386</v>
      </c>
      <c r="G22" s="285">
        <v>10</v>
      </c>
      <c r="H22" s="285">
        <f t="shared" si="0"/>
        <v>10</v>
      </c>
      <c r="I22" s="285" t="e">
        <f t="shared" ref="I22:I39" si="9">+VLOOKUP($G22,DGVC,IF($H$4="LOAÏI 2",3,IF($H$4="LOAÏI 3",4,IF($H$4="LOAÏI 4",5,IF($H$4="LOAÏI 1",2,6)))),0)</f>
        <v>#NAME?</v>
      </c>
      <c r="J22" s="285">
        <v>0</v>
      </c>
      <c r="K22" s="285">
        <f t="shared" ref="K22:K39" si="10">+IF($J22=0,0,VLOOKUP($G22,DGVC,IF($J$4="LOAÏI 2",3,IF($J$4="LOAÏI 3",4,IF($J$4="LOAÏI 4",5,IF($J$4="LOAÏI 1",2,6)))),0))</f>
        <v>0</v>
      </c>
      <c r="L22" s="286" t="e">
        <f t="shared" si="4"/>
        <v>#NAME?</v>
      </c>
      <c r="M22" s="285">
        <v>2</v>
      </c>
      <c r="N22" s="285">
        <v>1.1000000000000001</v>
      </c>
      <c r="O22" s="287" t="e">
        <f t="shared" si="7"/>
        <v>#NAME?</v>
      </c>
      <c r="P22" s="287" t="e">
        <f t="shared" si="3"/>
        <v>#NAME?</v>
      </c>
      <c r="Q22" s="287">
        <f t="shared" si="8"/>
        <v>11520</v>
      </c>
      <c r="R22" s="287" t="e">
        <f t="shared" si="6"/>
        <v>#NAME?</v>
      </c>
      <c r="S22" s="288">
        <v>9090909</v>
      </c>
      <c r="T22" s="288" t="e">
        <f t="shared" si="1"/>
        <v>#NAME?</v>
      </c>
    </row>
    <row r="23" spans="1:20" hidden="1">
      <c r="A23" s="262" t="s">
        <v>426</v>
      </c>
      <c r="B23" s="274" t="s">
        <v>427</v>
      </c>
      <c r="C23" s="275" t="s">
        <v>428</v>
      </c>
      <c r="D23" s="275" t="s">
        <v>91</v>
      </c>
      <c r="E23" s="275">
        <v>0.96</v>
      </c>
      <c r="F23" s="289" t="s">
        <v>386</v>
      </c>
      <c r="G23" s="275">
        <v>10</v>
      </c>
      <c r="H23" s="275">
        <f t="shared" si="0"/>
        <v>10</v>
      </c>
      <c r="I23" s="275" t="e">
        <f t="shared" si="9"/>
        <v>#NAME?</v>
      </c>
      <c r="J23" s="275">
        <v>0</v>
      </c>
      <c r="K23" s="275">
        <f t="shared" si="10"/>
        <v>0</v>
      </c>
      <c r="L23" s="289" t="e">
        <f t="shared" si="4"/>
        <v>#NAME?</v>
      </c>
      <c r="M23" s="275">
        <v>2</v>
      </c>
      <c r="N23" s="275">
        <v>1.1000000000000001</v>
      </c>
      <c r="O23" s="276" t="e">
        <f t="shared" si="7"/>
        <v>#NAME?</v>
      </c>
      <c r="P23" s="276" t="e">
        <f t="shared" si="3"/>
        <v>#NAME?</v>
      </c>
      <c r="Q23" s="276">
        <f t="shared" si="8"/>
        <v>11520</v>
      </c>
      <c r="R23" s="276" t="e">
        <f t="shared" si="6"/>
        <v>#NAME?</v>
      </c>
      <c r="S23" s="277">
        <v>2035000</v>
      </c>
      <c r="T23" s="277" t="e">
        <f t="shared" si="1"/>
        <v>#NAME?</v>
      </c>
    </row>
    <row r="24" spans="1:20" hidden="1">
      <c r="A24" s="262" t="s">
        <v>429</v>
      </c>
      <c r="B24" s="274" t="s">
        <v>430</v>
      </c>
      <c r="C24" s="275" t="s">
        <v>431</v>
      </c>
      <c r="D24" s="275" t="s">
        <v>89</v>
      </c>
      <c r="E24" s="275">
        <v>1E-3</v>
      </c>
      <c r="F24" s="289" t="s">
        <v>386</v>
      </c>
      <c r="G24" s="275">
        <v>10</v>
      </c>
      <c r="H24" s="275">
        <f t="shared" si="0"/>
        <v>10</v>
      </c>
      <c r="I24" s="275" t="e">
        <f t="shared" si="9"/>
        <v>#NAME?</v>
      </c>
      <c r="J24" s="275">
        <v>0</v>
      </c>
      <c r="K24" s="275">
        <f t="shared" si="10"/>
        <v>0</v>
      </c>
      <c r="L24" s="289" t="e">
        <f t="shared" si="4"/>
        <v>#NAME?</v>
      </c>
      <c r="M24" s="275">
        <v>2</v>
      </c>
      <c r="N24" s="275">
        <v>1.1000000000000001</v>
      </c>
      <c r="O24" s="276" t="e">
        <f t="shared" si="7"/>
        <v>#NAME?</v>
      </c>
      <c r="P24" s="276" t="e">
        <f t="shared" si="3"/>
        <v>#NAME?</v>
      </c>
      <c r="Q24" s="276">
        <f t="shared" si="8"/>
        <v>12</v>
      </c>
      <c r="R24" s="276" t="e">
        <f t="shared" si="6"/>
        <v>#NAME?</v>
      </c>
      <c r="S24" s="277">
        <v>18182</v>
      </c>
      <c r="T24" s="277" t="e">
        <f t="shared" si="1"/>
        <v>#NAME?</v>
      </c>
    </row>
    <row r="25" spans="1:20" hidden="1">
      <c r="A25" s="262" t="s">
        <v>432</v>
      </c>
      <c r="B25" s="274" t="s">
        <v>433</v>
      </c>
      <c r="C25" s="275" t="s">
        <v>434</v>
      </c>
      <c r="D25" s="275" t="s">
        <v>89</v>
      </c>
      <c r="E25" s="275">
        <v>1E-3</v>
      </c>
      <c r="F25" s="289" t="s">
        <v>386</v>
      </c>
      <c r="G25" s="275">
        <v>10</v>
      </c>
      <c r="H25" s="275">
        <f t="shared" si="0"/>
        <v>10</v>
      </c>
      <c r="I25" s="275" t="e">
        <f t="shared" si="9"/>
        <v>#NAME?</v>
      </c>
      <c r="J25" s="275">
        <v>0</v>
      </c>
      <c r="K25" s="275">
        <f t="shared" si="10"/>
        <v>0</v>
      </c>
      <c r="L25" s="289" t="e">
        <f t="shared" si="4"/>
        <v>#NAME?</v>
      </c>
      <c r="M25" s="275">
        <v>2</v>
      </c>
      <c r="N25" s="275">
        <v>1.1000000000000001</v>
      </c>
      <c r="O25" s="276" t="e">
        <f t="shared" si="7"/>
        <v>#NAME?</v>
      </c>
      <c r="P25" s="276" t="e">
        <f t="shared" si="3"/>
        <v>#NAME?</v>
      </c>
      <c r="Q25" s="276">
        <f t="shared" si="8"/>
        <v>12</v>
      </c>
      <c r="R25" s="276" t="e">
        <f t="shared" si="6"/>
        <v>#NAME?</v>
      </c>
      <c r="S25" s="277">
        <v>18182</v>
      </c>
      <c r="T25" s="277" t="e">
        <f t="shared" si="1"/>
        <v>#NAME?</v>
      </c>
    </row>
    <row r="26" spans="1:20" hidden="1">
      <c r="A26" s="279" t="s">
        <v>435</v>
      </c>
      <c r="B26" s="274" t="s">
        <v>436</v>
      </c>
      <c r="C26" s="275" t="s">
        <v>437</v>
      </c>
      <c r="D26" s="275" t="s">
        <v>89</v>
      </c>
      <c r="E26" s="275">
        <v>1E-3</v>
      </c>
      <c r="F26" s="289" t="s">
        <v>386</v>
      </c>
      <c r="G26" s="275">
        <v>10</v>
      </c>
      <c r="H26" s="275">
        <f t="shared" si="0"/>
        <v>10</v>
      </c>
      <c r="I26" s="275" t="e">
        <f t="shared" si="9"/>
        <v>#NAME?</v>
      </c>
      <c r="J26" s="275">
        <v>0</v>
      </c>
      <c r="K26" s="275">
        <f t="shared" si="10"/>
        <v>0</v>
      </c>
      <c r="L26" s="289" t="e">
        <f t="shared" si="4"/>
        <v>#NAME?</v>
      </c>
      <c r="M26" s="275">
        <v>2</v>
      </c>
      <c r="N26" s="275">
        <v>1.1000000000000001</v>
      </c>
      <c r="O26" s="276" t="e">
        <f t="shared" si="7"/>
        <v>#NAME?</v>
      </c>
      <c r="P26" s="276" t="e">
        <f t="shared" si="3"/>
        <v>#NAME?</v>
      </c>
      <c r="Q26" s="276">
        <f t="shared" si="8"/>
        <v>12</v>
      </c>
      <c r="R26" s="276" t="e">
        <f t="shared" si="6"/>
        <v>#NAME?</v>
      </c>
      <c r="S26" s="277">
        <v>15000</v>
      </c>
      <c r="T26" s="277" t="e">
        <f t="shared" si="1"/>
        <v>#NAME?</v>
      </c>
    </row>
    <row r="27" spans="1:20" hidden="1">
      <c r="A27" s="262" t="s">
        <v>438</v>
      </c>
      <c r="B27" s="274" t="s">
        <v>439</v>
      </c>
      <c r="C27" s="275" t="s">
        <v>440</v>
      </c>
      <c r="D27" s="275" t="s">
        <v>89</v>
      </c>
      <c r="E27" s="275">
        <v>1E-3</v>
      </c>
      <c r="F27" s="289" t="s">
        <v>386</v>
      </c>
      <c r="G27" s="275">
        <v>10</v>
      </c>
      <c r="H27" s="275">
        <f t="shared" si="0"/>
        <v>10</v>
      </c>
      <c r="I27" s="275" t="e">
        <f t="shared" si="9"/>
        <v>#NAME?</v>
      </c>
      <c r="J27" s="275">
        <v>0</v>
      </c>
      <c r="K27" s="275">
        <f t="shared" si="10"/>
        <v>0</v>
      </c>
      <c r="L27" s="289" t="e">
        <f t="shared" si="4"/>
        <v>#NAME?</v>
      </c>
      <c r="M27" s="275">
        <v>2</v>
      </c>
      <c r="N27" s="275">
        <v>1.1000000000000001</v>
      </c>
      <c r="O27" s="276" t="e">
        <f t="shared" si="7"/>
        <v>#NAME?</v>
      </c>
      <c r="P27" s="276" t="e">
        <f t="shared" si="3"/>
        <v>#NAME?</v>
      </c>
      <c r="Q27" s="276">
        <f t="shared" si="8"/>
        <v>12</v>
      </c>
      <c r="R27" s="276" t="e">
        <f t="shared" si="6"/>
        <v>#NAME?</v>
      </c>
      <c r="S27" s="277">
        <v>25000</v>
      </c>
      <c r="T27" s="277" t="e">
        <f t="shared" si="1"/>
        <v>#NAME?</v>
      </c>
    </row>
    <row r="28" spans="1:20" hidden="1">
      <c r="A28" s="262" t="s">
        <v>441</v>
      </c>
      <c r="B28" s="274" t="s">
        <v>442</v>
      </c>
      <c r="C28" s="275" t="s">
        <v>443</v>
      </c>
      <c r="D28" s="275" t="s">
        <v>89</v>
      </c>
      <c r="E28" s="275">
        <v>1E-3</v>
      </c>
      <c r="F28" s="289" t="s">
        <v>386</v>
      </c>
      <c r="G28" s="275">
        <v>10</v>
      </c>
      <c r="H28" s="275">
        <f t="shared" si="0"/>
        <v>10</v>
      </c>
      <c r="I28" s="275" t="e">
        <f t="shared" si="9"/>
        <v>#NAME?</v>
      </c>
      <c r="J28" s="275">
        <v>0</v>
      </c>
      <c r="K28" s="275">
        <f t="shared" si="10"/>
        <v>0</v>
      </c>
      <c r="L28" s="289" t="e">
        <f t="shared" si="4"/>
        <v>#NAME?</v>
      </c>
      <c r="M28" s="275">
        <v>2</v>
      </c>
      <c r="N28" s="275">
        <v>1.1000000000000001</v>
      </c>
      <c r="O28" s="276" t="e">
        <f t="shared" si="7"/>
        <v>#NAME?</v>
      </c>
      <c r="P28" s="276" t="e">
        <f t="shared" si="3"/>
        <v>#NAME?</v>
      </c>
      <c r="Q28" s="276">
        <f t="shared" si="8"/>
        <v>12</v>
      </c>
      <c r="R28" s="276" t="e">
        <f t="shared" si="6"/>
        <v>#NAME?</v>
      </c>
      <c r="S28" s="277">
        <v>52000</v>
      </c>
      <c r="T28" s="277" t="e">
        <f t="shared" si="1"/>
        <v>#NAME?</v>
      </c>
    </row>
    <row r="29" spans="1:20" hidden="1">
      <c r="A29" s="279" t="s">
        <v>444</v>
      </c>
      <c r="B29" s="274" t="s">
        <v>445</v>
      </c>
      <c r="C29" s="275" t="s">
        <v>446</v>
      </c>
      <c r="D29" s="275" t="s">
        <v>227</v>
      </c>
      <c r="E29" s="275">
        <v>3.5999999999999999E-3</v>
      </c>
      <c r="F29" s="289" t="s">
        <v>386</v>
      </c>
      <c r="G29" s="275">
        <v>10</v>
      </c>
      <c r="H29" s="275">
        <f t="shared" si="0"/>
        <v>10</v>
      </c>
      <c r="I29" s="275" t="e">
        <f t="shared" si="9"/>
        <v>#NAME?</v>
      </c>
      <c r="J29" s="275">
        <v>0</v>
      </c>
      <c r="K29" s="275">
        <f t="shared" si="10"/>
        <v>0</v>
      </c>
      <c r="L29" s="289" t="e">
        <f>E29*(H29*I29+J29*K29)</f>
        <v>#NAME?</v>
      </c>
      <c r="M29" s="275">
        <v>2</v>
      </c>
      <c r="N29" s="275">
        <v>1.1000000000000001</v>
      </c>
      <c r="O29" s="276" t="e">
        <f>+((L29*N29*15%)+(1500*E29))*0</f>
        <v>#NAME?</v>
      </c>
      <c r="P29" s="276" t="e">
        <f>+L29*N29+O29</f>
        <v>#NAME?</v>
      </c>
      <c r="Q29" s="276">
        <f t="shared" si="8"/>
        <v>43.199999999999996</v>
      </c>
      <c r="R29" s="276" t="e">
        <f t="shared" si="6"/>
        <v>#NAME?</v>
      </c>
      <c r="S29" s="277">
        <v>94091</v>
      </c>
      <c r="T29" s="277" t="e">
        <f t="shared" si="1"/>
        <v>#NAME?</v>
      </c>
    </row>
    <row r="30" spans="1:20" hidden="1">
      <c r="A30" s="279" t="s">
        <v>447</v>
      </c>
      <c r="B30" s="274" t="s">
        <v>442</v>
      </c>
      <c r="C30" s="275" t="s">
        <v>448</v>
      </c>
      <c r="D30" s="275" t="s">
        <v>89</v>
      </c>
      <c r="E30" s="275">
        <v>1E-3</v>
      </c>
      <c r="F30" s="289" t="s">
        <v>386</v>
      </c>
      <c r="G30" s="275">
        <v>10</v>
      </c>
      <c r="H30" s="275">
        <f t="shared" si="0"/>
        <v>10</v>
      </c>
      <c r="I30" s="275" t="e">
        <f t="shared" si="9"/>
        <v>#NAME?</v>
      </c>
      <c r="J30" s="275">
        <v>0</v>
      </c>
      <c r="K30" s="275">
        <f t="shared" si="10"/>
        <v>0</v>
      </c>
      <c r="L30" s="289" t="e">
        <f>E30*(H30*I30+J30*K30)</f>
        <v>#NAME?</v>
      </c>
      <c r="M30" s="275">
        <v>2</v>
      </c>
      <c r="N30" s="275">
        <v>1.1000000000000001</v>
      </c>
      <c r="O30" s="276" t="e">
        <f>+((L30*N30*15%)+(1500*E30))*0</f>
        <v>#NAME?</v>
      </c>
      <c r="P30" s="276" t="e">
        <f>+L30*N30+O30</f>
        <v>#NAME?</v>
      </c>
      <c r="Q30" s="276">
        <f t="shared" si="8"/>
        <v>12</v>
      </c>
      <c r="R30" s="276" t="e">
        <f t="shared" si="6"/>
        <v>#NAME?</v>
      </c>
      <c r="S30" s="277">
        <v>39000</v>
      </c>
      <c r="T30" s="277" t="e">
        <f t="shared" si="1"/>
        <v>#NAME?</v>
      </c>
    </row>
    <row r="31" spans="1:20" hidden="1">
      <c r="A31" s="279" t="s">
        <v>449</v>
      </c>
      <c r="B31" s="274" t="s">
        <v>442</v>
      </c>
      <c r="C31" s="275" t="s">
        <v>450</v>
      </c>
      <c r="D31" s="275" t="s">
        <v>89</v>
      </c>
      <c r="E31" s="275">
        <v>1E-3</v>
      </c>
      <c r="F31" s="289" t="s">
        <v>386</v>
      </c>
      <c r="G31" s="275">
        <v>10</v>
      </c>
      <c r="H31" s="275">
        <f t="shared" si="0"/>
        <v>10</v>
      </c>
      <c r="I31" s="275" t="e">
        <f t="shared" si="9"/>
        <v>#NAME?</v>
      </c>
      <c r="J31" s="275">
        <v>0</v>
      </c>
      <c r="K31" s="275">
        <f t="shared" si="10"/>
        <v>0</v>
      </c>
      <c r="L31" s="289" t="e">
        <f>E31*(H31*I31+J31*K31)</f>
        <v>#NAME?</v>
      </c>
      <c r="M31" s="275">
        <v>2</v>
      </c>
      <c r="N31" s="275">
        <v>1.1000000000000001</v>
      </c>
      <c r="O31" s="276" t="e">
        <f>+((L31*N31*15%)+(1500*E31))*0</f>
        <v>#NAME?</v>
      </c>
      <c r="P31" s="276" t="e">
        <f>+L31*N31+O31</f>
        <v>#NAME?</v>
      </c>
      <c r="Q31" s="276">
        <f t="shared" si="8"/>
        <v>12</v>
      </c>
      <c r="R31" s="276" t="e">
        <f t="shared" si="6"/>
        <v>#NAME?</v>
      </c>
      <c r="S31" s="277">
        <v>52000</v>
      </c>
      <c r="T31" s="277" t="e">
        <f t="shared" si="1"/>
        <v>#NAME?</v>
      </c>
    </row>
    <row r="32" spans="1:20" hidden="1">
      <c r="A32" s="279" t="s">
        <v>451</v>
      </c>
      <c r="B32" s="274" t="s">
        <v>452</v>
      </c>
      <c r="C32" s="275" t="s">
        <v>453</v>
      </c>
      <c r="D32" s="275" t="s">
        <v>89</v>
      </c>
      <c r="E32" s="275">
        <v>1E-3</v>
      </c>
      <c r="F32" s="289" t="s">
        <v>386</v>
      </c>
      <c r="G32" s="275">
        <v>10</v>
      </c>
      <c r="H32" s="275">
        <f t="shared" si="0"/>
        <v>10</v>
      </c>
      <c r="I32" s="275" t="e">
        <f t="shared" si="9"/>
        <v>#NAME?</v>
      </c>
      <c r="J32" s="275">
        <v>0</v>
      </c>
      <c r="K32" s="275">
        <f t="shared" si="10"/>
        <v>0</v>
      </c>
      <c r="L32" s="289" t="e">
        <f t="shared" si="4"/>
        <v>#NAME?</v>
      </c>
      <c r="M32" s="275">
        <v>1</v>
      </c>
      <c r="N32" s="275">
        <v>1.35</v>
      </c>
      <c r="O32" s="276" t="e">
        <f t="shared" si="7"/>
        <v>#NAME?</v>
      </c>
      <c r="P32" s="276" t="e">
        <f t="shared" si="3"/>
        <v>#NAME?</v>
      </c>
      <c r="Q32" s="276">
        <f t="shared" si="8"/>
        <v>12</v>
      </c>
      <c r="R32" s="276" t="e">
        <f t="shared" si="6"/>
        <v>#NAME?</v>
      </c>
      <c r="S32" s="277">
        <v>2000</v>
      </c>
      <c r="T32" s="277" t="e">
        <f t="shared" si="1"/>
        <v>#NAME?</v>
      </c>
    </row>
    <row r="33" spans="1:20" hidden="1">
      <c r="A33" s="290" t="s">
        <v>454</v>
      </c>
      <c r="B33" s="274" t="s">
        <v>455</v>
      </c>
      <c r="C33" s="275" t="s">
        <v>456</v>
      </c>
      <c r="D33" s="275" t="s">
        <v>89</v>
      </c>
      <c r="E33" s="275">
        <v>1E-3</v>
      </c>
      <c r="F33" s="289" t="s">
        <v>386</v>
      </c>
      <c r="G33" s="275">
        <v>10</v>
      </c>
      <c r="H33" s="275">
        <f t="shared" si="0"/>
        <v>10</v>
      </c>
      <c r="I33" s="275" t="e">
        <f t="shared" si="9"/>
        <v>#NAME?</v>
      </c>
      <c r="J33" s="275">
        <v>0</v>
      </c>
      <c r="K33" s="275">
        <f t="shared" si="10"/>
        <v>0</v>
      </c>
      <c r="L33" s="289" t="e">
        <f>E33*(H33*I33+J33*K33)</f>
        <v>#NAME?</v>
      </c>
      <c r="M33" s="275">
        <v>2</v>
      </c>
      <c r="N33" s="275">
        <v>1.1000000000000001</v>
      </c>
      <c r="O33" s="276" t="e">
        <f t="shared" si="7"/>
        <v>#NAME?</v>
      </c>
      <c r="P33" s="276" t="e">
        <f>+L33*N33+O33</f>
        <v>#NAME?</v>
      </c>
      <c r="Q33" s="276">
        <f t="shared" si="8"/>
        <v>12</v>
      </c>
      <c r="R33" s="276" t="e">
        <f t="shared" si="6"/>
        <v>#NAME?</v>
      </c>
      <c r="S33" s="277" t="e">
        <f>+VLOOKUP($B33,dgvl,4,0)</f>
        <v>#N/A</v>
      </c>
      <c r="T33" s="277" t="e">
        <f t="shared" si="1"/>
        <v>#NAME?</v>
      </c>
    </row>
    <row r="34" spans="1:20" hidden="1">
      <c r="A34" s="262" t="s">
        <v>457</v>
      </c>
      <c r="B34" s="274" t="s">
        <v>458</v>
      </c>
      <c r="C34" s="275" t="s">
        <v>459</v>
      </c>
      <c r="D34" s="275" t="s">
        <v>89</v>
      </c>
      <c r="E34" s="275">
        <v>1E-3</v>
      </c>
      <c r="F34" s="289" t="s">
        <v>386</v>
      </c>
      <c r="G34" s="275">
        <v>10</v>
      </c>
      <c r="H34" s="275">
        <f t="shared" si="0"/>
        <v>10</v>
      </c>
      <c r="I34" s="275" t="e">
        <f t="shared" si="9"/>
        <v>#NAME?</v>
      </c>
      <c r="J34" s="275">
        <v>0</v>
      </c>
      <c r="K34" s="275">
        <f t="shared" si="10"/>
        <v>0</v>
      </c>
      <c r="L34" s="289" t="e">
        <f>E34*(H34*I34+J34*K34)</f>
        <v>#NAME?</v>
      </c>
      <c r="M34" s="275">
        <v>2</v>
      </c>
      <c r="N34" s="275">
        <v>1.1000000000000001</v>
      </c>
      <c r="O34" s="276" t="e">
        <f t="shared" si="7"/>
        <v>#NAME?</v>
      </c>
      <c r="P34" s="276" t="e">
        <f>+L34*N34+O34</f>
        <v>#NAME?</v>
      </c>
      <c r="Q34" s="276">
        <f t="shared" si="8"/>
        <v>12</v>
      </c>
      <c r="R34" s="276" t="e">
        <f t="shared" si="6"/>
        <v>#NAME?</v>
      </c>
      <c r="S34" s="277">
        <v>40000</v>
      </c>
      <c r="T34" s="277" t="e">
        <f t="shared" si="1"/>
        <v>#NAME?</v>
      </c>
    </row>
    <row r="35" spans="1:20" hidden="1">
      <c r="A35" s="262" t="s">
        <v>460</v>
      </c>
      <c r="B35" s="274" t="s">
        <v>461</v>
      </c>
      <c r="C35" s="275" t="s">
        <v>462</v>
      </c>
      <c r="D35" s="275" t="s">
        <v>89</v>
      </c>
      <c r="E35" s="275">
        <v>1E-3</v>
      </c>
      <c r="F35" s="289" t="s">
        <v>386</v>
      </c>
      <c r="G35" s="275">
        <v>10</v>
      </c>
      <c r="H35" s="275">
        <f t="shared" si="0"/>
        <v>10</v>
      </c>
      <c r="I35" s="275" t="e">
        <f t="shared" si="9"/>
        <v>#NAME?</v>
      </c>
      <c r="J35" s="275">
        <v>0</v>
      </c>
      <c r="K35" s="275">
        <f t="shared" si="10"/>
        <v>0</v>
      </c>
      <c r="L35" s="289" t="e">
        <f>E35*(H35*I35+J35*K35)</f>
        <v>#NAME?</v>
      </c>
      <c r="M35" s="275">
        <v>2</v>
      </c>
      <c r="N35" s="275">
        <v>1.1000000000000001</v>
      </c>
      <c r="O35" s="276" t="e">
        <f t="shared" si="7"/>
        <v>#NAME?</v>
      </c>
      <c r="P35" s="276" t="e">
        <f>+L35*N35+O35</f>
        <v>#NAME?</v>
      </c>
      <c r="Q35" s="276">
        <f t="shared" si="8"/>
        <v>12</v>
      </c>
      <c r="R35" s="276" t="e">
        <f t="shared" si="6"/>
        <v>#NAME?</v>
      </c>
      <c r="S35" s="277">
        <v>700</v>
      </c>
      <c r="T35" s="277" t="e">
        <f t="shared" si="1"/>
        <v>#NAME?</v>
      </c>
    </row>
    <row r="36" spans="1:20" hidden="1">
      <c r="A36" s="279" t="s">
        <v>463</v>
      </c>
      <c r="B36" s="274" t="s">
        <v>464</v>
      </c>
      <c r="C36" s="275" t="s">
        <v>465</v>
      </c>
      <c r="D36" s="275" t="s">
        <v>89</v>
      </c>
      <c r="E36" s="275">
        <v>1E-3</v>
      </c>
      <c r="F36" s="289" t="s">
        <v>386</v>
      </c>
      <c r="G36" s="275">
        <v>10</v>
      </c>
      <c r="H36" s="275">
        <f t="shared" si="0"/>
        <v>10</v>
      </c>
      <c r="I36" s="275" t="e">
        <f t="shared" si="9"/>
        <v>#NAME?</v>
      </c>
      <c r="J36" s="275">
        <v>0</v>
      </c>
      <c r="K36" s="275">
        <f t="shared" si="10"/>
        <v>0</v>
      </c>
      <c r="L36" s="289" t="e">
        <f>E36*(H36*I36+J36*K36)</f>
        <v>#NAME?</v>
      </c>
      <c r="M36" s="275">
        <v>2</v>
      </c>
      <c r="N36" s="275">
        <v>1.1000000000000001</v>
      </c>
      <c r="O36" s="276" t="e">
        <f t="shared" si="7"/>
        <v>#NAME?</v>
      </c>
      <c r="P36" s="276" t="e">
        <f>+L36*N36+O36</f>
        <v>#NAME?</v>
      </c>
      <c r="Q36" s="276">
        <f t="shared" si="8"/>
        <v>12</v>
      </c>
      <c r="R36" s="276" t="e">
        <f t="shared" si="6"/>
        <v>#NAME?</v>
      </c>
      <c r="S36" s="277" t="e">
        <f>+VLOOKUP($B36,dgvl,4,0)</f>
        <v>#N/A</v>
      </c>
      <c r="T36" s="277" t="e">
        <f t="shared" si="1"/>
        <v>#NAME?</v>
      </c>
    </row>
    <row r="37" spans="1:20" hidden="1">
      <c r="A37" s="262" t="s">
        <v>466</v>
      </c>
      <c r="B37" s="274" t="s">
        <v>467</v>
      </c>
      <c r="C37" s="275" t="s">
        <v>468</v>
      </c>
      <c r="D37" s="275" t="s">
        <v>89</v>
      </c>
      <c r="E37" s="275">
        <v>1E-3</v>
      </c>
      <c r="F37" s="289" t="s">
        <v>386</v>
      </c>
      <c r="G37" s="275">
        <v>10</v>
      </c>
      <c r="H37" s="275">
        <f t="shared" si="0"/>
        <v>10</v>
      </c>
      <c r="I37" s="275" t="e">
        <f t="shared" si="9"/>
        <v>#NAME?</v>
      </c>
      <c r="J37" s="275">
        <v>0</v>
      </c>
      <c r="K37" s="275">
        <f t="shared" si="10"/>
        <v>0</v>
      </c>
      <c r="L37" s="289" t="e">
        <f>E37*(H37*I37+J37*K37)</f>
        <v>#NAME?</v>
      </c>
      <c r="M37" s="275">
        <v>2</v>
      </c>
      <c r="N37" s="275">
        <v>1.1000000000000001</v>
      </c>
      <c r="O37" s="276" t="e">
        <f t="shared" si="7"/>
        <v>#NAME?</v>
      </c>
      <c r="P37" s="276" t="e">
        <f>+L37*N37+O37</f>
        <v>#NAME?</v>
      </c>
      <c r="Q37" s="276">
        <f t="shared" si="8"/>
        <v>12</v>
      </c>
      <c r="R37" s="276" t="e">
        <f t="shared" si="6"/>
        <v>#NAME?</v>
      </c>
      <c r="S37" s="277">
        <v>1000</v>
      </c>
      <c r="T37" s="277" t="e">
        <f t="shared" si="1"/>
        <v>#NAME?</v>
      </c>
    </row>
    <row r="38" spans="1:20" hidden="1">
      <c r="A38" s="262" t="s">
        <v>469</v>
      </c>
      <c r="B38" s="274" t="s">
        <v>470</v>
      </c>
      <c r="C38" s="281" t="s">
        <v>471</v>
      </c>
      <c r="D38" s="281" t="s">
        <v>472</v>
      </c>
      <c r="E38" s="281">
        <v>1.6000000000000001E-3</v>
      </c>
      <c r="F38" s="291" t="s">
        <v>386</v>
      </c>
      <c r="G38" s="281">
        <v>15</v>
      </c>
      <c r="H38" s="281">
        <f t="shared" si="0"/>
        <v>15</v>
      </c>
      <c r="I38" s="281" t="e">
        <f t="shared" si="9"/>
        <v>#NAME?</v>
      </c>
      <c r="J38" s="281">
        <v>0</v>
      </c>
      <c r="K38" s="281">
        <f t="shared" si="10"/>
        <v>0</v>
      </c>
      <c r="L38" s="291" t="e">
        <f t="shared" si="4"/>
        <v>#NAME?</v>
      </c>
      <c r="M38" s="281">
        <v>1</v>
      </c>
      <c r="N38" s="281">
        <v>1</v>
      </c>
      <c r="O38" s="282" t="e">
        <f t="shared" si="7"/>
        <v>#NAME?</v>
      </c>
      <c r="P38" s="282" t="e">
        <f t="shared" si="3"/>
        <v>#NAME?</v>
      </c>
      <c r="Q38" s="282">
        <f>12000*E38*0</f>
        <v>0</v>
      </c>
      <c r="R38" s="282" t="e">
        <f>IF(O38=0,12000*E38,"Ñoå ben")</f>
        <v>#NAME?</v>
      </c>
      <c r="S38" s="283">
        <v>864</v>
      </c>
      <c r="T38" s="283" t="e">
        <f t="shared" si="1"/>
        <v>#NAME?</v>
      </c>
    </row>
    <row r="39" spans="1:20" hidden="1">
      <c r="A39" s="262" t="s">
        <v>473</v>
      </c>
      <c r="B39" s="280" t="s">
        <v>474</v>
      </c>
      <c r="C39" s="292" t="s">
        <v>475</v>
      </c>
      <c r="D39" s="292" t="s">
        <v>472</v>
      </c>
      <c r="E39" s="293">
        <v>1.6000000000000001E-3</v>
      </c>
      <c r="F39" s="294" t="s">
        <v>476</v>
      </c>
      <c r="G39" s="295">
        <v>15</v>
      </c>
      <c r="H39" s="296">
        <f t="shared" si="0"/>
        <v>15</v>
      </c>
      <c r="I39" s="293" t="e">
        <f t="shared" si="9"/>
        <v>#NAME?</v>
      </c>
      <c r="J39" s="297">
        <v>0</v>
      </c>
      <c r="K39" s="293">
        <f t="shared" si="10"/>
        <v>0</v>
      </c>
      <c r="L39" s="298" t="e">
        <f t="shared" si="4"/>
        <v>#NAME?</v>
      </c>
      <c r="M39" s="293">
        <v>1</v>
      </c>
      <c r="N39" s="293">
        <v>1</v>
      </c>
      <c r="O39" s="299" t="e">
        <f t="shared" si="7"/>
        <v>#NAME?</v>
      </c>
      <c r="P39" s="299" t="e">
        <f t="shared" si="3"/>
        <v>#NAME?</v>
      </c>
      <c r="Q39" s="300">
        <f>12000*E39*0</f>
        <v>0</v>
      </c>
      <c r="R39" s="300" t="e">
        <f>IF(O39=0,12000*E39,"Ñoå ben")</f>
        <v>#NAME?</v>
      </c>
      <c r="S39" s="301">
        <v>700</v>
      </c>
      <c r="T39" s="302" t="e">
        <f t="shared" si="1"/>
        <v>#NAME?</v>
      </c>
    </row>
    <row r="40" spans="1:20" hidden="1">
      <c r="B40" s="278"/>
      <c r="C40" s="1077"/>
      <c r="D40" s="1077"/>
      <c r="E40" s="1077"/>
      <c r="F40" s="1077"/>
      <c r="G40" s="1077"/>
      <c r="H40" s="1077"/>
      <c r="I40" s="1077"/>
      <c r="J40" s="1077"/>
      <c r="K40" s="1077"/>
      <c r="L40" s="1077"/>
      <c r="M40" s="1077"/>
      <c r="N40" s="1077"/>
      <c r="O40" s="1077"/>
      <c r="P40" s="1077"/>
      <c r="Q40" s="1077"/>
      <c r="R40" s="1077"/>
      <c r="S40" s="1077"/>
      <c r="T40" s="1077"/>
    </row>
    <row r="41" spans="1:20" hidden="1">
      <c r="A41" s="273">
        <v>1</v>
      </c>
      <c r="B41" s="278">
        <v>2</v>
      </c>
      <c r="C41" s="273">
        <v>3</v>
      </c>
      <c r="D41" s="278">
        <v>4</v>
      </c>
      <c r="E41" s="273">
        <v>5</v>
      </c>
      <c r="F41" s="278">
        <v>6</v>
      </c>
      <c r="G41" s="273">
        <v>7</v>
      </c>
      <c r="H41" s="278">
        <v>8</v>
      </c>
      <c r="I41" s="273">
        <v>9</v>
      </c>
      <c r="J41" s="278">
        <v>10</v>
      </c>
      <c r="K41" s="273">
        <v>11</v>
      </c>
      <c r="L41" s="278">
        <v>12</v>
      </c>
      <c r="M41" s="273">
        <v>13</v>
      </c>
      <c r="N41" s="278">
        <v>14</v>
      </c>
      <c r="O41" s="273">
        <v>15</v>
      </c>
      <c r="P41" s="278">
        <v>16</v>
      </c>
      <c r="Q41" s="273">
        <v>17</v>
      </c>
      <c r="R41" s="278">
        <v>18</v>
      </c>
      <c r="S41" s="273">
        <v>19</v>
      </c>
      <c r="T41" s="278">
        <v>20</v>
      </c>
    </row>
    <row r="42" spans="1:20">
      <c r="B42" s="278"/>
      <c r="C42" s="278"/>
      <c r="D42" s="278"/>
      <c r="E42" s="303"/>
      <c r="F42" s="278"/>
      <c r="G42" s="278"/>
      <c r="H42" s="278"/>
      <c r="I42" s="278"/>
      <c r="J42" s="278"/>
      <c r="K42" s="278"/>
      <c r="L42" s="278"/>
      <c r="M42" s="278"/>
      <c r="N42" s="278"/>
      <c r="O42" s="278"/>
      <c r="P42" s="278"/>
      <c r="Q42" s="278"/>
      <c r="R42" s="278"/>
      <c r="S42" s="278"/>
      <c r="T42" s="278"/>
    </row>
    <row r="43" spans="1:20">
      <c r="I43" s="273"/>
      <c r="J43" s="273"/>
      <c r="K43" s="273"/>
      <c r="L43" s="273"/>
      <c r="M43" s="273"/>
      <c r="N43" s="273"/>
      <c r="O43" s="273"/>
      <c r="P43" s="273"/>
    </row>
    <row r="44" spans="1:20">
      <c r="I44" s="273"/>
      <c r="J44" s="273"/>
      <c r="K44" s="273"/>
      <c r="L44" s="273"/>
      <c r="M44" s="273"/>
      <c r="N44" s="273"/>
      <c r="O44" s="273"/>
      <c r="P44" s="273"/>
    </row>
    <row r="45" spans="1:20">
      <c r="I45" s="273"/>
      <c r="J45" s="273"/>
      <c r="K45" s="273"/>
      <c r="L45" s="273"/>
      <c r="M45" s="273"/>
      <c r="N45" s="273"/>
      <c r="O45" s="273"/>
      <c r="P45" s="273"/>
    </row>
    <row r="46" spans="1:20">
      <c r="I46" s="273"/>
      <c r="J46" s="273"/>
      <c r="K46" s="273"/>
      <c r="L46" s="273"/>
      <c r="M46" s="273"/>
      <c r="N46" s="273"/>
      <c r="O46" s="273"/>
      <c r="P46" s="273"/>
    </row>
    <row r="47" spans="1:20">
      <c r="I47" s="273"/>
      <c r="J47" s="273"/>
      <c r="K47" s="273"/>
      <c r="L47" s="273"/>
      <c r="M47" s="273"/>
      <c r="N47" s="273"/>
      <c r="O47" s="273"/>
      <c r="P47" s="273"/>
    </row>
    <row r="48" spans="1:20">
      <c r="I48" s="273"/>
      <c r="J48" s="273"/>
      <c r="K48" s="273"/>
      <c r="L48" s="273"/>
      <c r="M48" s="273"/>
      <c r="N48" s="273"/>
      <c r="O48" s="273"/>
      <c r="P48" s="273"/>
    </row>
    <row r="49" spans="9:16">
      <c r="I49" s="273"/>
      <c r="J49" s="273"/>
      <c r="K49" s="273"/>
      <c r="L49" s="273"/>
      <c r="M49" s="273"/>
      <c r="N49" s="273"/>
      <c r="O49" s="273"/>
      <c r="P49" s="273"/>
    </row>
    <row r="50" spans="9:16">
      <c r="I50" s="273"/>
      <c r="J50" s="273"/>
      <c r="K50" s="273"/>
      <c r="L50" s="273"/>
      <c r="M50" s="273"/>
      <c r="N50" s="273"/>
      <c r="O50" s="273"/>
      <c r="P50" s="273"/>
    </row>
    <row r="51" spans="9:16">
      <c r="I51" s="273"/>
      <c r="J51" s="273"/>
      <c r="K51" s="273"/>
      <c r="L51" s="273"/>
      <c r="M51" s="273"/>
      <c r="N51" s="273"/>
      <c r="O51" s="273"/>
      <c r="P51" s="273"/>
    </row>
    <row r="52" spans="9:16">
      <c r="I52" s="273"/>
      <c r="J52" s="273"/>
      <c r="K52" s="273"/>
      <c r="L52" s="273"/>
      <c r="M52" s="273"/>
      <c r="N52" s="273"/>
      <c r="O52" s="273"/>
      <c r="P52" s="273"/>
    </row>
    <row r="53" spans="9:16">
      <c r="I53" s="273"/>
      <c r="J53" s="273"/>
      <c r="K53" s="273"/>
      <c r="L53" s="273"/>
      <c r="M53" s="273"/>
      <c r="N53" s="273"/>
      <c r="O53" s="273"/>
      <c r="P53" s="273"/>
    </row>
    <row r="54" spans="9:16">
      <c r="I54" s="273"/>
      <c r="J54" s="273"/>
      <c r="K54" s="273"/>
      <c r="L54" s="273"/>
      <c r="M54" s="273"/>
      <c r="N54" s="273"/>
      <c r="O54" s="273"/>
      <c r="P54" s="273"/>
    </row>
    <row r="55" spans="9:16">
      <c r="I55" s="273"/>
      <c r="J55" s="273"/>
      <c r="K55" s="273"/>
      <c r="L55" s="273"/>
      <c r="M55" s="273"/>
      <c r="N55" s="273"/>
      <c r="O55" s="273"/>
      <c r="P55" s="273"/>
    </row>
    <row r="56" spans="9:16">
      <c r="I56" s="273"/>
      <c r="J56" s="273"/>
      <c r="K56" s="273"/>
      <c r="L56" s="273"/>
      <c r="M56" s="273"/>
      <c r="N56" s="273"/>
      <c r="O56" s="273"/>
      <c r="P56" s="273"/>
    </row>
    <row r="57" spans="9:16">
      <c r="I57" s="273"/>
      <c r="J57" s="273"/>
      <c r="K57" s="273"/>
      <c r="L57" s="273"/>
      <c r="M57" s="273"/>
      <c r="N57" s="273"/>
      <c r="O57" s="273"/>
      <c r="P57" s="273"/>
    </row>
    <row r="58" spans="9:16">
      <c r="I58" s="273"/>
      <c r="J58" s="273"/>
      <c r="K58" s="273"/>
      <c r="L58" s="273"/>
      <c r="M58" s="273"/>
      <c r="N58" s="273"/>
      <c r="O58" s="273"/>
      <c r="P58" s="273"/>
    </row>
  </sheetData>
  <mergeCells count="4">
    <mergeCell ref="C1:T1"/>
    <mergeCell ref="C2:T2"/>
    <mergeCell ref="H4:I4"/>
    <mergeCell ref="C40:T40"/>
  </mergeCells>
  <phoneticPr fontId="49" type="noConversion"/>
  <printOptions horizontalCentered="1"/>
  <pageMargins left="0.61" right="0.19685039370078741" top="0.59055118110236227" bottom="0.31496062992125984" header="0.51181102362204722" footer="0.31496062992125984"/>
  <pageSetup paperSize="9" scale="8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33"/>
  </sheetPr>
  <dimension ref="A1:M183"/>
  <sheetViews>
    <sheetView zoomScale="85" zoomScaleNormal="85" zoomScalePageLayoutView="70" workbookViewId="0">
      <selection activeCell="K65" sqref="K65"/>
    </sheetView>
  </sheetViews>
  <sheetFormatPr defaultColWidth="12" defaultRowHeight="18.75"/>
  <cols>
    <col min="1" max="1" width="2.83203125" style="12" customWidth="1"/>
    <col min="2" max="2" width="8" style="12" customWidth="1"/>
    <col min="3" max="3" width="5.5" style="12" customWidth="1"/>
    <col min="4" max="4" width="22.1640625" style="12" customWidth="1"/>
    <col min="5" max="5" width="16" style="12" customWidth="1"/>
    <col min="6" max="6" width="19.6640625" style="12" customWidth="1"/>
    <col min="7" max="7" width="15.5" style="12" customWidth="1"/>
    <col min="8" max="8" width="11" style="12" customWidth="1"/>
    <col min="9" max="9" width="2.6640625" style="12" customWidth="1"/>
    <col min="10" max="10" width="15.5" style="12" customWidth="1"/>
    <col min="11" max="12" width="12" style="12"/>
    <col min="13" max="13" width="28.1640625" style="12" customWidth="1"/>
    <col min="14" max="16384" width="12" style="12"/>
  </cols>
  <sheetData>
    <row r="1" spans="1:9" s="10" customFormat="1" ht="30" customHeight="1">
      <c r="A1" s="9"/>
      <c r="I1" s="11"/>
    </row>
    <row r="2" spans="1:9" s="23" customFormat="1" ht="30" customHeight="1">
      <c r="A2" s="945" t="str">
        <f>'Bia tap 1'!A2:I2</f>
        <v>CÔNG TY ĐIỆN LỰC KHÁNH HÒA</v>
      </c>
      <c r="B2" s="946"/>
      <c r="C2" s="946"/>
      <c r="D2" s="946"/>
      <c r="E2" s="946"/>
      <c r="F2" s="946"/>
      <c r="G2" s="946"/>
      <c r="H2" s="946"/>
      <c r="I2" s="947"/>
    </row>
    <row r="3" spans="1:9" s="23" customFormat="1" ht="30" customHeight="1">
      <c r="A3" s="948" t="str">
        <f>'Bia tap 1'!A3:I3</f>
        <v xml:space="preserve"> ĐIỆN LỰC THUẬN BẮC </v>
      </c>
      <c r="B3" s="949"/>
      <c r="C3" s="949"/>
      <c r="D3" s="949"/>
      <c r="E3" s="949"/>
      <c r="F3" s="949"/>
      <c r="G3" s="949"/>
      <c r="H3" s="949"/>
      <c r="I3" s="950"/>
    </row>
    <row r="4" spans="1:9" s="23" customFormat="1" ht="30" customHeight="1" thickBot="1">
      <c r="A4" s="188"/>
      <c r="B4" s="189"/>
      <c r="C4" s="189"/>
      <c r="D4" s="189"/>
      <c r="E4" s="189"/>
      <c r="F4" s="189"/>
      <c r="G4" s="189"/>
      <c r="H4" s="189"/>
      <c r="I4" s="190"/>
    </row>
    <row r="5" spans="1:9" s="23" customFormat="1" ht="15.75">
      <c r="A5" s="22"/>
      <c r="I5" s="25"/>
    </row>
    <row r="6" spans="1:9" s="23" customFormat="1" ht="26.25" customHeight="1">
      <c r="A6" s="951" t="str">
        <f>'Bia tap 1'!A6:I6</f>
        <v>SCL - 2026</v>
      </c>
      <c r="B6" s="952"/>
      <c r="C6" s="952"/>
      <c r="D6" s="952"/>
      <c r="E6" s="952"/>
      <c r="F6" s="952"/>
      <c r="G6" s="952"/>
      <c r="H6" s="952"/>
      <c r="I6" s="953"/>
    </row>
    <row r="7" spans="1:9" s="23" customFormat="1" ht="54" customHeight="1">
      <c r="A7" s="964" t="s">
        <v>496</v>
      </c>
      <c r="B7" s="958"/>
      <c r="C7" s="958"/>
      <c r="D7" s="958"/>
      <c r="E7" s="958"/>
      <c r="F7" s="958"/>
      <c r="G7" s="958"/>
      <c r="H7" s="958"/>
      <c r="I7" s="25"/>
    </row>
    <row r="8" spans="1:9" s="23" customFormat="1" ht="39.75" customHeight="1">
      <c r="A8" s="22"/>
      <c r="E8" s="180"/>
      <c r="I8" s="25"/>
    </row>
    <row r="9" spans="1:9" s="23" customFormat="1" ht="30" customHeight="1">
      <c r="A9" s="954" t="s">
        <v>256</v>
      </c>
      <c r="B9" s="955"/>
      <c r="C9" s="955"/>
      <c r="D9" s="955"/>
      <c r="E9" s="955"/>
      <c r="F9" s="955"/>
      <c r="G9" s="955"/>
      <c r="H9" s="955"/>
      <c r="I9" s="956"/>
    </row>
    <row r="10" spans="1:9" s="23" customFormat="1" ht="30" customHeight="1">
      <c r="A10" s="954" t="str">
        <f>'Bia tap 1'!A10:I10</f>
        <v>SỬA CHỮA LỚN NĂM 2026</v>
      </c>
      <c r="B10" s="955"/>
      <c r="C10" s="955"/>
      <c r="D10" s="955"/>
      <c r="E10" s="955"/>
      <c r="F10" s="955"/>
      <c r="G10" s="955"/>
      <c r="H10" s="955"/>
      <c r="I10" s="956"/>
    </row>
    <row r="11" spans="1:9" s="23" customFormat="1" ht="44.45" customHeight="1">
      <c r="A11" s="319"/>
      <c r="B11" s="320"/>
      <c r="C11" s="320"/>
      <c r="D11" s="320"/>
      <c r="E11" s="320"/>
      <c r="F11" s="320"/>
      <c r="G11" s="320"/>
      <c r="H11" s="320"/>
      <c r="I11" s="321"/>
    </row>
    <row r="12" spans="1:9" s="23" customFormat="1" ht="19.5">
      <c r="A12" s="22"/>
      <c r="E12" s="24"/>
      <c r="I12" s="25"/>
    </row>
    <row r="13" spans="1:9" s="23" customFormat="1">
      <c r="A13" s="22"/>
      <c r="E13" s="3" t="s">
        <v>17</v>
      </c>
      <c r="F13" s="26"/>
      <c r="I13" s="25"/>
    </row>
    <row r="14" spans="1:9" s="23" customFormat="1">
      <c r="A14" s="22"/>
      <c r="E14" s="3"/>
      <c r="F14" s="26"/>
      <c r="I14" s="25"/>
    </row>
    <row r="15" spans="1:9" s="23" customFormat="1">
      <c r="A15" s="957" t="str">
        <f>'Bia tap 1'!A15:I15</f>
        <v>CÔNG TRÌNH: SỬA CHỮA LƯỚI ĐIỆN THA</v>
      </c>
      <c r="B15" s="958"/>
      <c r="C15" s="958"/>
      <c r="D15" s="958"/>
      <c r="E15" s="958"/>
      <c r="F15" s="958"/>
      <c r="G15" s="958"/>
      <c r="H15" s="958"/>
      <c r="I15" s="959"/>
    </row>
    <row r="16" spans="1:9" s="23" customFormat="1">
      <c r="A16" s="957" t="str">
        <f>'Bia tap 1'!A16:I16</f>
        <v xml:space="preserve"> KHU VỰC ĐỘI QLĐ THUẬN BẮC (ĐỢT 2 NĂM 2026)</v>
      </c>
      <c r="B16" s="958"/>
      <c r="C16" s="958"/>
      <c r="D16" s="958"/>
      <c r="E16" s="958"/>
      <c r="F16" s="958"/>
      <c r="G16" s="958"/>
      <c r="H16" s="958"/>
      <c r="I16" s="959"/>
    </row>
    <row r="17" spans="1:10" s="23" customFormat="1">
      <c r="A17" s="316"/>
      <c r="B17" s="317"/>
      <c r="C17" s="317"/>
      <c r="D17" s="317"/>
      <c r="E17" s="317"/>
      <c r="F17" s="317"/>
      <c r="G17" s="317"/>
      <c r="H17" s="317"/>
      <c r="I17" s="318"/>
    </row>
    <row r="18" spans="1:10" s="23" customFormat="1" ht="39.75" customHeight="1">
      <c r="A18" s="960"/>
      <c r="B18" s="961"/>
      <c r="C18" s="961"/>
      <c r="D18" s="961"/>
      <c r="E18" s="961"/>
      <c r="F18" s="961"/>
      <c r="G18" s="961"/>
      <c r="H18" s="961"/>
      <c r="I18" s="962"/>
    </row>
    <row r="19" spans="1:10" s="23" customFormat="1" ht="15" customHeight="1">
      <c r="A19" s="22"/>
      <c r="C19" s="187"/>
      <c r="D19" s="191"/>
      <c r="E19" s="27"/>
      <c r="F19" s="192"/>
      <c r="G19" s="27"/>
      <c r="H19" s="185"/>
      <c r="I19" s="25"/>
      <c r="J19" s="185"/>
    </row>
    <row r="20" spans="1:10" s="23" customFormat="1" ht="15.75">
      <c r="A20" s="22"/>
      <c r="C20" s="187"/>
      <c r="D20" s="193"/>
      <c r="E20" s="27"/>
      <c r="F20" s="27"/>
      <c r="G20" s="27"/>
      <c r="I20" s="25"/>
    </row>
    <row r="21" spans="1:10" s="23" customFormat="1" ht="15.75">
      <c r="A21" s="22"/>
      <c r="C21" s="187"/>
      <c r="D21" s="193"/>
      <c r="E21" s="27"/>
      <c r="F21" s="27"/>
      <c r="G21" s="27"/>
      <c r="I21" s="25"/>
    </row>
    <row r="22" spans="1:10" s="23" customFormat="1" ht="15.75">
      <c r="A22" s="22"/>
      <c r="C22" s="187"/>
      <c r="D22" s="193"/>
      <c r="E22" s="27"/>
      <c r="F22" s="27"/>
      <c r="G22" s="27"/>
      <c r="I22" s="25"/>
    </row>
    <row r="23" spans="1:10" s="23" customFormat="1" ht="16.5">
      <c r="A23" s="22"/>
      <c r="D23" s="194"/>
      <c r="E23" s="27"/>
      <c r="F23" s="192"/>
      <c r="G23" s="27"/>
      <c r="I23" s="25"/>
    </row>
    <row r="24" spans="1:10" s="23" customFormat="1" ht="52.9" customHeight="1">
      <c r="A24" s="22"/>
      <c r="D24" s="187"/>
      <c r="I24" s="25"/>
    </row>
    <row r="25" spans="1:10" s="23" customFormat="1" ht="25.5" customHeight="1">
      <c r="A25" s="22"/>
      <c r="D25" s="187"/>
      <c r="I25" s="25"/>
    </row>
    <row r="26" spans="1:10" s="23" customFormat="1" ht="16.5">
      <c r="A26" s="22"/>
      <c r="C26" s="155"/>
      <c r="F26" s="963"/>
      <c r="G26" s="963"/>
      <c r="H26" s="963"/>
      <c r="I26" s="25"/>
    </row>
    <row r="27" spans="1:10" s="23" customFormat="1" ht="15.75">
      <c r="A27" s="22"/>
      <c r="I27" s="25"/>
    </row>
    <row r="28" spans="1:10" s="23" customFormat="1" ht="15.75">
      <c r="A28" s="22"/>
      <c r="C28" s="179"/>
      <c r="I28" s="25"/>
    </row>
    <row r="29" spans="1:10" s="23" customFormat="1" ht="15.75">
      <c r="A29" s="22"/>
      <c r="C29" s="179"/>
      <c r="I29" s="25"/>
    </row>
    <row r="30" spans="1:10" s="23" customFormat="1" ht="15" customHeight="1">
      <c r="A30" s="22"/>
      <c r="C30" s="179"/>
      <c r="D30" s="155"/>
      <c r="I30" s="25"/>
    </row>
    <row r="31" spans="1:10" s="23" customFormat="1" ht="32.25" customHeight="1">
      <c r="A31" s="942" t="str">
        <f>'Bia tap 1'!A31:I31</f>
        <v>Năm 2026</v>
      </c>
      <c r="B31" s="943"/>
      <c r="C31" s="943"/>
      <c r="D31" s="943"/>
      <c r="E31" s="943"/>
      <c r="F31" s="943"/>
      <c r="G31" s="943"/>
      <c r="H31" s="943"/>
      <c r="I31" s="944"/>
    </row>
    <row r="32" spans="1:10" ht="18.75" customHeight="1" thickBot="1">
      <c r="A32" s="13"/>
      <c r="B32" s="14"/>
      <c r="C32" s="14"/>
      <c r="D32" s="14"/>
      <c r="E32" s="14"/>
      <c r="F32" s="14"/>
      <c r="G32" s="14"/>
      <c r="H32" s="14"/>
      <c r="I32" s="15"/>
    </row>
    <row r="33" spans="1:9" s="10" customFormat="1" ht="30" customHeight="1">
      <c r="A33" s="9"/>
      <c r="I33" s="11"/>
    </row>
    <row r="34" spans="1:9" s="23" customFormat="1" ht="30" customHeight="1">
      <c r="A34" s="945" t="str">
        <f>'Bia tap 1'!A34:I34</f>
        <v>CÔNG TY ĐIỆN LỰC KHÁNH HÒA</v>
      </c>
      <c r="B34" s="946"/>
      <c r="C34" s="946"/>
      <c r="D34" s="946"/>
      <c r="E34" s="946"/>
      <c r="F34" s="946"/>
      <c r="G34" s="946"/>
      <c r="H34" s="946"/>
      <c r="I34" s="947"/>
    </row>
    <row r="35" spans="1:9" s="23" customFormat="1" ht="30" customHeight="1">
      <c r="A35" s="948" t="str">
        <f>'Bia tap 1'!A35:I35</f>
        <v xml:space="preserve">ĐIỆN LỰC THUẬN BẮC </v>
      </c>
      <c r="B35" s="949"/>
      <c r="C35" s="949"/>
      <c r="D35" s="949"/>
      <c r="E35" s="949"/>
      <c r="F35" s="949"/>
      <c r="G35" s="949"/>
      <c r="H35" s="949"/>
      <c r="I35" s="950"/>
    </row>
    <row r="36" spans="1:9" s="23" customFormat="1" ht="15" customHeight="1">
      <c r="A36" s="22"/>
      <c r="G36" s="23" t="s">
        <v>29</v>
      </c>
      <c r="I36" s="25"/>
    </row>
    <row r="37" spans="1:9" s="23" customFormat="1" ht="15.75">
      <c r="A37" s="176"/>
      <c r="B37" s="177"/>
      <c r="C37" s="177"/>
      <c r="D37" s="177"/>
      <c r="E37" s="177"/>
      <c r="F37" s="177"/>
      <c r="G37" s="177"/>
      <c r="H37" s="177"/>
      <c r="I37" s="178"/>
    </row>
    <row r="38" spans="1:9" s="23" customFormat="1" ht="18.75" customHeight="1">
      <c r="A38" s="951" t="s">
        <v>582</v>
      </c>
      <c r="B38" s="952"/>
      <c r="C38" s="952"/>
      <c r="D38" s="952"/>
      <c r="E38" s="952"/>
      <c r="F38" s="952"/>
      <c r="G38" s="952"/>
      <c r="H38" s="952"/>
      <c r="I38" s="953"/>
    </row>
    <row r="39" spans="1:9" s="23" customFormat="1" ht="15.75">
      <c r="A39" s="22"/>
      <c r="E39" s="179"/>
      <c r="I39" s="25"/>
    </row>
    <row r="40" spans="1:9" s="23" customFormat="1" ht="28.15" customHeight="1">
      <c r="A40" s="22"/>
      <c r="E40" s="179"/>
      <c r="I40" s="25"/>
    </row>
    <row r="41" spans="1:9" s="23" customFormat="1" ht="15.75">
      <c r="A41" s="22"/>
      <c r="E41" s="180"/>
      <c r="I41" s="25"/>
    </row>
    <row r="42" spans="1:9" s="23" customFormat="1" ht="30" customHeight="1">
      <c r="A42" s="954" t="str">
        <f>A9</f>
        <v>PHƯƠNG ÁN KỸ THUẬT - DỰ TOÁN</v>
      </c>
      <c r="B42" s="955"/>
      <c r="C42" s="955"/>
      <c r="D42" s="955"/>
      <c r="E42" s="955"/>
      <c r="F42" s="955"/>
      <c r="G42" s="955"/>
      <c r="H42" s="955"/>
      <c r="I42" s="956"/>
    </row>
    <row r="43" spans="1:9" s="23" customFormat="1" ht="30" customHeight="1">
      <c r="A43" s="965" t="str">
        <f>A10</f>
        <v>SỬA CHỮA LỚN NĂM 2026</v>
      </c>
      <c r="B43" s="966"/>
      <c r="C43" s="966"/>
      <c r="D43" s="966"/>
      <c r="E43" s="966"/>
      <c r="F43" s="966"/>
      <c r="G43" s="966"/>
      <c r="H43" s="966"/>
      <c r="I43" s="967"/>
    </row>
    <row r="44" spans="1:9" s="23" customFormat="1" ht="19.5">
      <c r="A44" s="22"/>
      <c r="E44" s="24"/>
      <c r="I44" s="25"/>
    </row>
    <row r="45" spans="1:9" s="23" customFormat="1" ht="38.450000000000003" customHeight="1">
      <c r="A45" s="979" t="s">
        <v>18</v>
      </c>
      <c r="B45" s="980"/>
      <c r="C45" s="980"/>
      <c r="D45" s="980"/>
      <c r="E45" s="980"/>
      <c r="F45" s="980"/>
      <c r="G45" s="980"/>
      <c r="H45" s="980"/>
      <c r="I45" s="981"/>
    </row>
    <row r="46" spans="1:9" s="23" customFormat="1" ht="25.5" customHeight="1">
      <c r="A46" s="970" t="str">
        <f>A15</f>
        <v>CÔNG TRÌNH: SỬA CHỮA LƯỚI ĐIỆN THA</v>
      </c>
      <c r="B46" s="971"/>
      <c r="C46" s="971"/>
      <c r="D46" s="971"/>
      <c r="E46" s="971"/>
      <c r="F46" s="971"/>
      <c r="G46" s="971"/>
      <c r="H46" s="971"/>
      <c r="I46" s="972"/>
    </row>
    <row r="47" spans="1:9" s="23" customFormat="1" ht="31.5" customHeight="1">
      <c r="A47" s="973" t="str">
        <f>A16</f>
        <v xml:space="preserve"> KHU VỰC ĐỘI QLĐ THUẬN BẮC (ĐỢT 2 NĂM 2026)</v>
      </c>
      <c r="B47" s="974"/>
      <c r="C47" s="974"/>
      <c r="D47" s="974"/>
      <c r="E47" s="974"/>
      <c r="F47" s="974"/>
      <c r="G47" s="974"/>
      <c r="H47" s="974"/>
      <c r="I47" s="975"/>
    </row>
    <row r="48" spans="1:9" s="23" customFormat="1" ht="62.65" customHeight="1">
      <c r="A48" s="957" t="s">
        <v>496</v>
      </c>
      <c r="B48" s="976"/>
      <c r="C48" s="976"/>
      <c r="D48" s="976"/>
      <c r="E48" s="976"/>
      <c r="F48" s="976"/>
      <c r="G48" s="976"/>
      <c r="H48" s="976"/>
      <c r="I48" s="977"/>
    </row>
    <row r="49" spans="1:13" s="182" customFormat="1" ht="36.6" customHeight="1">
      <c r="A49" s="181"/>
      <c r="D49" s="982"/>
      <c r="E49" s="983"/>
      <c r="F49" s="29"/>
      <c r="G49" s="30"/>
      <c r="I49" s="183"/>
      <c r="M49" s="29"/>
    </row>
    <row r="50" spans="1:13" s="182" customFormat="1" ht="34.5" customHeight="1">
      <c r="A50" s="181"/>
      <c r="D50" s="156"/>
      <c r="E50" s="157"/>
      <c r="F50" s="29"/>
      <c r="G50" s="30"/>
      <c r="H50" s="331"/>
      <c r="I50" s="183"/>
      <c r="J50" s="184"/>
      <c r="M50" s="112"/>
    </row>
    <row r="51" spans="1:13" s="182" customFormat="1" ht="36" hidden="1" customHeight="1">
      <c r="A51" s="181"/>
      <c r="D51" s="156"/>
      <c r="E51" s="157"/>
      <c r="F51" s="29"/>
      <c r="G51" s="30"/>
      <c r="I51" s="183"/>
      <c r="J51" s="184"/>
    </row>
    <row r="52" spans="1:13" s="23" customFormat="1" ht="36" hidden="1" customHeight="1">
      <c r="A52" s="22"/>
      <c r="D52" s="27"/>
      <c r="E52" s="27"/>
      <c r="F52" s="27"/>
      <c r="G52" s="27"/>
      <c r="I52" s="25"/>
    </row>
    <row r="53" spans="1:13" s="23" customFormat="1" ht="36.6" customHeight="1">
      <c r="A53" s="22"/>
      <c r="D53" s="315" t="s">
        <v>641</v>
      </c>
      <c r="E53" s="978" t="s">
        <v>264</v>
      </c>
      <c r="F53" s="978"/>
      <c r="G53" s="28"/>
      <c r="I53" s="25"/>
      <c r="M53" s="185"/>
    </row>
    <row r="54" spans="1:13" s="23" customFormat="1" ht="36.6" customHeight="1">
      <c r="A54" s="22"/>
      <c r="D54" s="315" t="s">
        <v>15</v>
      </c>
      <c r="E54" s="978" t="s">
        <v>273</v>
      </c>
      <c r="F54" s="978"/>
      <c r="G54" s="186"/>
      <c r="I54" s="25"/>
      <c r="K54" s="23" t="s">
        <v>29</v>
      </c>
    </row>
    <row r="55" spans="1:13" s="23" customFormat="1" ht="15.75">
      <c r="A55" s="22"/>
      <c r="D55" s="187"/>
      <c r="I55" s="25"/>
    </row>
    <row r="56" spans="1:13" s="23" customFormat="1" ht="26.45" customHeight="1">
      <c r="A56" s="22"/>
      <c r="E56" s="968" t="s">
        <v>1029</v>
      </c>
      <c r="F56" s="968"/>
      <c r="G56" s="968"/>
      <c r="H56" s="968"/>
      <c r="I56" s="25"/>
    </row>
    <row r="57" spans="1:13" s="23" customFormat="1" ht="16.5">
      <c r="A57" s="22"/>
      <c r="C57" s="155"/>
      <c r="E57" s="969" t="s">
        <v>1144</v>
      </c>
      <c r="F57" s="969"/>
      <c r="G57" s="969"/>
      <c r="H57" s="969"/>
      <c r="I57" s="25"/>
    </row>
    <row r="58" spans="1:13" s="23" customFormat="1" ht="16.5">
      <c r="A58" s="22"/>
      <c r="E58" s="969" t="s">
        <v>1145</v>
      </c>
      <c r="F58" s="969"/>
      <c r="G58" s="969"/>
      <c r="H58" s="969"/>
      <c r="I58" s="25"/>
    </row>
    <row r="59" spans="1:13" s="23" customFormat="1" ht="16.5">
      <c r="A59" s="22"/>
      <c r="E59" s="155"/>
      <c r="F59" s="155"/>
      <c r="G59" s="155"/>
      <c r="H59" s="155"/>
      <c r="I59" s="25"/>
    </row>
    <row r="60" spans="1:13" s="23" customFormat="1" ht="16.5">
      <c r="A60" s="22"/>
      <c r="E60" s="155"/>
      <c r="F60" s="155"/>
      <c r="G60" s="155"/>
      <c r="H60" s="155"/>
      <c r="I60" s="25"/>
    </row>
    <row r="61" spans="1:13" s="23" customFormat="1" ht="16.5">
      <c r="A61" s="22"/>
      <c r="E61" s="155"/>
      <c r="F61" s="155"/>
      <c r="G61" s="155"/>
      <c r="H61" s="155"/>
      <c r="I61" s="25"/>
    </row>
    <row r="62" spans="1:13" s="23" customFormat="1" ht="15.75">
      <c r="A62" s="22"/>
      <c r="C62" s="179"/>
      <c r="I62" s="25"/>
    </row>
    <row r="63" spans="1:13" s="23" customFormat="1" ht="15.75">
      <c r="A63" s="22"/>
      <c r="C63" s="179"/>
      <c r="I63" s="25"/>
    </row>
    <row r="64" spans="1:13" s="23" customFormat="1" ht="15.75">
      <c r="A64" s="22"/>
      <c r="I64" s="25"/>
    </row>
    <row r="65" spans="1:9" s="23" customFormat="1" ht="16.5">
      <c r="A65" s="22"/>
      <c r="E65" s="969" t="s">
        <v>265</v>
      </c>
      <c r="F65" s="969"/>
      <c r="G65" s="969"/>
      <c r="H65" s="969"/>
      <c r="I65" s="25"/>
    </row>
    <row r="66" spans="1:9" ht="19.5" thickBot="1">
      <c r="A66" s="13"/>
      <c r="B66" s="14"/>
      <c r="C66" s="14"/>
      <c r="D66" s="14"/>
      <c r="E66" s="14"/>
      <c r="F66" s="14"/>
      <c r="G66" s="14"/>
      <c r="H66" s="14"/>
      <c r="I66" s="15"/>
    </row>
    <row r="68" spans="1:9" ht="18.75" customHeight="1"/>
    <row r="104" ht="15" customHeight="1"/>
    <row r="105" ht="18.75" customHeight="1"/>
    <row r="109" ht="31.5" customHeight="1"/>
    <row r="110" ht="14.25" customHeight="1"/>
    <row r="120" ht="26.25" customHeight="1"/>
    <row r="176" spans="3:3" ht="20.25">
      <c r="C176" s="17"/>
    </row>
    <row r="177" spans="3:5" ht="20.25">
      <c r="C177" s="17"/>
    </row>
    <row r="178" spans="3:5">
      <c r="C178" s="16"/>
    </row>
    <row r="179" spans="3:5">
      <c r="C179" s="16"/>
    </row>
    <row r="180" spans="3:5">
      <c r="E180" s="16"/>
    </row>
    <row r="182" spans="3:5" ht="20.25">
      <c r="E182" s="17"/>
    </row>
    <row r="183" spans="3:5" ht="20.25">
      <c r="E183" s="18"/>
    </row>
  </sheetData>
  <mergeCells count="27">
    <mergeCell ref="A47:I47"/>
    <mergeCell ref="A34:I34"/>
    <mergeCell ref="A35:I35"/>
    <mergeCell ref="A38:I38"/>
    <mergeCell ref="A42:I42"/>
    <mergeCell ref="A46:I46"/>
    <mergeCell ref="A45:I45"/>
    <mergeCell ref="A43:I43"/>
    <mergeCell ref="E65:H65"/>
    <mergeCell ref="E58:H58"/>
    <mergeCell ref="E53:F53"/>
    <mergeCell ref="A48:I48"/>
    <mergeCell ref="E56:H56"/>
    <mergeCell ref="E57:H57"/>
    <mergeCell ref="D49:E49"/>
    <mergeCell ref="E54:F54"/>
    <mergeCell ref="A2:I2"/>
    <mergeCell ref="A3:I3"/>
    <mergeCell ref="A6:I6"/>
    <mergeCell ref="A7:H7"/>
    <mergeCell ref="A9:I9"/>
    <mergeCell ref="A31:I31"/>
    <mergeCell ref="A10:I10"/>
    <mergeCell ref="A15:I15"/>
    <mergeCell ref="A16:I16"/>
    <mergeCell ref="A18:I18"/>
    <mergeCell ref="F26:H26"/>
  </mergeCells>
  <phoneticPr fontId="0" type="noConversion"/>
  <dataValidations count="1">
    <dataValidation allowBlank="1" showInputMessage="1" showErrorMessage="1" prompt="He so: 1,2_x000a_CV :616" sqref="D55:D63 D24:D30" xr:uid="{00000000-0002-0000-0200-000000000000}"/>
  </dataValidations>
  <printOptions horizontalCentered="1" verticalCentered="1"/>
  <pageMargins left="0.64" right="0.35433070866141703" top="0.59055118110236204" bottom="0.59055118110236204" header="0.31496062992126" footer="0.31496062992126"/>
  <pageSetup paperSize="9" scale="98" firstPageNumber="6"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3"/>
  </sheetPr>
  <dimension ref="B1:W48"/>
  <sheetViews>
    <sheetView topLeftCell="A19" zoomScale="110" zoomScaleNormal="110" workbookViewId="0">
      <selection activeCell="I30" sqref="I30"/>
    </sheetView>
  </sheetViews>
  <sheetFormatPr defaultColWidth="9.33203125" defaultRowHeight="15"/>
  <cols>
    <col min="1" max="1" width="1.6640625" style="21" customWidth="1"/>
    <col min="2" max="2" width="5" style="21" customWidth="1"/>
    <col min="3" max="3" width="50" style="21" customWidth="1"/>
    <col min="4" max="4" width="8.1640625" style="21" customWidth="1"/>
    <col min="5" max="5" width="23.5" style="21" customWidth="1"/>
    <col min="6" max="6" width="19.1640625" style="21" customWidth="1"/>
    <col min="7" max="7" width="24.6640625" style="21" hidden="1" customWidth="1"/>
    <col min="8" max="8" width="19.33203125" style="21" customWidth="1"/>
    <col min="9" max="9" width="19" style="21" customWidth="1"/>
    <col min="10" max="10" width="24.83203125" style="21" customWidth="1"/>
    <col min="11" max="11" width="16.5" style="21" bestFit="1" customWidth="1"/>
    <col min="12" max="12" width="13" style="21" bestFit="1" customWidth="1"/>
    <col min="13" max="13" width="18.1640625" style="21" customWidth="1"/>
    <col min="14" max="14" width="13.33203125" style="21" bestFit="1" customWidth="1"/>
    <col min="15" max="16384" width="9.33203125" style="21"/>
  </cols>
  <sheetData>
    <row r="1" spans="2:23" ht="6.75" customHeight="1"/>
    <row r="2" spans="2:23" ht="29.25" customHeight="1">
      <c r="B2" s="984" t="s">
        <v>118</v>
      </c>
      <c r="C2" s="984"/>
      <c r="D2" s="984"/>
      <c r="E2" s="984"/>
      <c r="F2" s="984"/>
      <c r="G2" s="984"/>
      <c r="H2" s="984"/>
      <c r="I2" s="984"/>
      <c r="J2" s="501"/>
    </row>
    <row r="3" spans="2:23" ht="21" customHeight="1">
      <c r="B3" s="985" t="s">
        <v>1031</v>
      </c>
      <c r="C3" s="985"/>
      <c r="D3" s="985"/>
      <c r="E3" s="985"/>
      <c r="F3" s="985"/>
      <c r="G3" s="985"/>
      <c r="H3" s="985"/>
      <c r="I3" s="985"/>
      <c r="J3" s="502"/>
    </row>
    <row r="4" spans="2:23" ht="16.899999999999999" customHeight="1">
      <c r="B4" s="503"/>
      <c r="C4" s="504"/>
      <c r="D4" s="504"/>
      <c r="E4" s="504"/>
      <c r="F4" s="504"/>
      <c r="G4" s="504"/>
      <c r="H4" s="504"/>
      <c r="I4" s="504"/>
      <c r="J4" s="504"/>
    </row>
    <row r="5" spans="2:23" s="105" customFormat="1" ht="27" customHeight="1">
      <c r="B5" s="988" t="s">
        <v>22</v>
      </c>
      <c r="C5" s="988" t="s">
        <v>500</v>
      </c>
      <c r="D5" s="987" t="s">
        <v>36</v>
      </c>
      <c r="E5" s="987" t="s">
        <v>23</v>
      </c>
      <c r="F5" s="990" t="s">
        <v>10</v>
      </c>
      <c r="G5" s="991"/>
      <c r="H5" s="992"/>
      <c r="I5" s="987" t="s">
        <v>501</v>
      </c>
      <c r="J5" s="989" t="s">
        <v>11</v>
      </c>
    </row>
    <row r="6" spans="2:23" s="105" customFormat="1" ht="27" customHeight="1">
      <c r="B6" s="988"/>
      <c r="C6" s="988"/>
      <c r="D6" s="987"/>
      <c r="E6" s="987"/>
      <c r="F6" s="506" t="s">
        <v>74</v>
      </c>
      <c r="G6" s="506" t="s">
        <v>491</v>
      </c>
      <c r="H6" s="506" t="s">
        <v>566</v>
      </c>
      <c r="I6" s="987"/>
      <c r="J6" s="989"/>
    </row>
    <row r="7" spans="2:23" ht="16.5">
      <c r="B7" s="332" t="s">
        <v>54</v>
      </c>
      <c r="C7" s="332" t="s">
        <v>55</v>
      </c>
      <c r="D7" s="332" t="s">
        <v>56</v>
      </c>
      <c r="E7" s="332" t="s">
        <v>57</v>
      </c>
      <c r="F7" s="332" t="s">
        <v>58</v>
      </c>
      <c r="G7" s="332" t="s">
        <v>59</v>
      </c>
      <c r="H7" s="332" t="s">
        <v>59</v>
      </c>
      <c r="I7" s="332" t="s">
        <v>508</v>
      </c>
      <c r="J7" s="162"/>
      <c r="K7" s="162"/>
      <c r="L7" s="162"/>
      <c r="M7" s="32"/>
      <c r="N7" s="32"/>
      <c r="O7" s="32"/>
      <c r="P7" s="32"/>
      <c r="Q7" s="32"/>
      <c r="R7" s="32"/>
      <c r="S7" s="32"/>
      <c r="T7" s="32"/>
      <c r="U7" s="32"/>
      <c r="V7" s="32"/>
      <c r="W7" s="32"/>
    </row>
    <row r="8" spans="2:23" s="105" customFormat="1" ht="22.15" customHeight="1">
      <c r="B8" s="507" t="s">
        <v>24</v>
      </c>
      <c r="C8" s="508" t="s">
        <v>535</v>
      </c>
      <c r="D8" s="509" t="s">
        <v>1194</v>
      </c>
      <c r="E8" s="509"/>
      <c r="F8" s="333"/>
      <c r="G8" s="333"/>
      <c r="H8" s="333"/>
      <c r="I8" s="348" t="e">
        <f>+I9+I13</f>
        <v>#REF!</v>
      </c>
      <c r="J8" s="110"/>
      <c r="K8" s="110"/>
      <c r="M8" s="510">
        <v>107789642</v>
      </c>
    </row>
    <row r="9" spans="2:23" s="163" customFormat="1" ht="22.15" customHeight="1">
      <c r="B9" s="505">
        <v>1</v>
      </c>
      <c r="C9" s="511" t="s">
        <v>509</v>
      </c>
      <c r="D9" s="506" t="s">
        <v>1195</v>
      </c>
      <c r="E9" s="506" t="s">
        <v>510</v>
      </c>
      <c r="F9" s="330" t="e">
        <f>SUM(F10:F12)</f>
        <v>#REF!</v>
      </c>
      <c r="G9" s="330" t="e">
        <f t="shared" ref="G9:H9" si="0">SUM(G10:G12)</f>
        <v>#REF!</v>
      </c>
      <c r="H9" s="330" t="e">
        <f t="shared" si="0"/>
        <v>#REF!</v>
      </c>
      <c r="I9" s="349" t="e">
        <f>SUM(I10:I12)</f>
        <v>#REF!</v>
      </c>
      <c r="J9" s="21"/>
    </row>
    <row r="10" spans="2:23" s="163" customFormat="1" ht="22.15" customHeight="1">
      <c r="B10" s="512" t="s">
        <v>511</v>
      </c>
      <c r="C10" s="513" t="s">
        <v>512</v>
      </c>
      <c r="D10" s="514"/>
      <c r="E10" s="514" t="s">
        <v>80</v>
      </c>
      <c r="F10" s="329" t="e">
        <f>+'2.THOP-NC+MTC'!#REF!</f>
        <v>#REF!</v>
      </c>
      <c r="G10" s="329" t="e">
        <f>+'2.THOP-NC+MTC'!#REF!</f>
        <v>#REF!</v>
      </c>
      <c r="H10" s="329" t="e">
        <f>'2.THOP-NC+MTC'!#REF!</f>
        <v>#REF!</v>
      </c>
      <c r="I10" s="350" t="e">
        <f>SUM(F10:H10)</f>
        <v>#REF!</v>
      </c>
      <c r="J10" s="326"/>
    </row>
    <row r="11" spans="2:23" s="163" customFormat="1" ht="22.15" customHeight="1">
      <c r="B11" s="512" t="s">
        <v>513</v>
      </c>
      <c r="C11" s="513" t="s">
        <v>514</v>
      </c>
      <c r="D11" s="514"/>
      <c r="E11" s="514" t="s">
        <v>80</v>
      </c>
      <c r="F11" s="329"/>
      <c r="G11" s="329"/>
      <c r="H11" s="329"/>
      <c r="I11" s="350">
        <f>SUM(F11:H11)</f>
        <v>0</v>
      </c>
      <c r="J11" s="326"/>
    </row>
    <row r="12" spans="2:23" s="163" customFormat="1" ht="22.15" customHeight="1">
      <c r="B12" s="512" t="s">
        <v>515</v>
      </c>
      <c r="C12" s="513" t="s">
        <v>516</v>
      </c>
      <c r="D12" s="514"/>
      <c r="E12" s="514" t="s">
        <v>21</v>
      </c>
      <c r="F12" s="329"/>
      <c r="G12" s="329"/>
      <c r="H12" s="329"/>
      <c r="I12" s="747"/>
      <c r="J12" s="328"/>
      <c r="K12" s="345"/>
    </row>
    <row r="13" spans="2:23" s="327" customFormat="1" ht="22.15" customHeight="1">
      <c r="B13" s="505">
        <v>2</v>
      </c>
      <c r="C13" s="511" t="s">
        <v>517</v>
      </c>
      <c r="D13" s="506" t="s">
        <v>1196</v>
      </c>
      <c r="E13" s="506" t="s">
        <v>518</v>
      </c>
      <c r="F13" s="330" t="e">
        <f>SUM(F14:F16)</f>
        <v>#REF!</v>
      </c>
      <c r="G13" s="330" t="e">
        <f t="shared" ref="G13:H13" si="1">SUM(G14:G16)</f>
        <v>#REF!</v>
      </c>
      <c r="H13" s="330" t="e">
        <f t="shared" si="1"/>
        <v>#REF!</v>
      </c>
      <c r="I13" s="349" t="e">
        <f>SUM(I14:I16)</f>
        <v>#REF!</v>
      </c>
      <c r="J13" s="326"/>
    </row>
    <row r="14" spans="2:23" s="163" customFormat="1" ht="22.15" customHeight="1">
      <c r="B14" s="512" t="s">
        <v>519</v>
      </c>
      <c r="C14" s="513" t="s">
        <v>520</v>
      </c>
      <c r="D14" s="514"/>
      <c r="E14" s="514" t="s">
        <v>80</v>
      </c>
      <c r="F14" s="329" t="e">
        <f>+'2.THOP-NC+MTC'!#REF!</f>
        <v>#REF!</v>
      </c>
      <c r="G14" s="329" t="e">
        <f>+'2.THOP-NC+MTC'!#REF!</f>
        <v>#REF!</v>
      </c>
      <c r="H14" s="329" t="e">
        <f>'2.THOP-NC+MTC'!#REF!</f>
        <v>#REF!</v>
      </c>
      <c r="I14" s="350" t="e">
        <f>SUM(F14:H14)</f>
        <v>#REF!</v>
      </c>
      <c r="J14" s="326"/>
    </row>
    <row r="15" spans="2:23" s="163" customFormat="1" ht="22.15" customHeight="1">
      <c r="B15" s="512" t="s">
        <v>521</v>
      </c>
      <c r="C15" s="513" t="s">
        <v>514</v>
      </c>
      <c r="D15" s="514"/>
      <c r="E15" s="514" t="s">
        <v>80</v>
      </c>
      <c r="F15" s="330"/>
      <c r="G15" s="330"/>
      <c r="H15" s="330"/>
      <c r="I15" s="351">
        <f>'4.VCBD'!C4</f>
        <v>25853492</v>
      </c>
      <c r="J15" s="326"/>
    </row>
    <row r="16" spans="2:23" s="163" customFormat="1" ht="22.15" customHeight="1">
      <c r="B16" s="512" t="s">
        <v>522</v>
      </c>
      <c r="C16" s="513" t="s">
        <v>516</v>
      </c>
      <c r="D16" s="514"/>
      <c r="E16" s="514" t="s">
        <v>21</v>
      </c>
      <c r="F16" s="330"/>
      <c r="G16" s="330"/>
      <c r="H16" s="330"/>
      <c r="I16" s="349"/>
      <c r="J16" s="326"/>
      <c r="K16" s="110"/>
    </row>
    <row r="17" spans="2:23" s="105" customFormat="1" ht="22.15" customHeight="1">
      <c r="B17" s="507" t="s">
        <v>25</v>
      </c>
      <c r="C17" s="508" t="s">
        <v>502</v>
      </c>
      <c r="D17" s="515" t="s">
        <v>1197</v>
      </c>
      <c r="E17" s="515" t="s">
        <v>523</v>
      </c>
      <c r="F17" s="348" t="e">
        <f t="shared" ref="F17:H17" si="2">+F23</f>
        <v>#REF!</v>
      </c>
      <c r="G17" s="348">
        <f t="shared" si="2"/>
        <v>0</v>
      </c>
      <c r="H17" s="348" t="e">
        <f t="shared" si="2"/>
        <v>#REF!</v>
      </c>
      <c r="I17" s="348" t="e">
        <f>+I23</f>
        <v>#REF!</v>
      </c>
      <c r="J17" s="381"/>
      <c r="K17" s="110"/>
      <c r="M17" s="510"/>
      <c r="N17" s="105">
        <f>SUM(M8:M16)</f>
        <v>107789642</v>
      </c>
    </row>
    <row r="18" spans="2:23" ht="22.15" customHeight="1">
      <c r="B18" s="516">
        <v>1</v>
      </c>
      <c r="C18" s="517" t="s">
        <v>524</v>
      </c>
      <c r="D18" s="518" t="s">
        <v>30</v>
      </c>
      <c r="E18" s="518" t="s">
        <v>80</v>
      </c>
      <c r="F18" s="498" t="e">
        <f>+'2.THOP-NC+MTC'!#REF!+'2.THOP-NC+MTC'!#REF!</f>
        <v>#REF!</v>
      </c>
      <c r="G18" s="498"/>
      <c r="H18" s="498" t="e">
        <f>+'2.THOP-NC+MTC'!#REF!+'2.THOP-NC+MTC'!#REF!</f>
        <v>#REF!</v>
      </c>
      <c r="I18" s="498" t="e">
        <f>SUM(F18:H18)</f>
        <v>#REF!</v>
      </c>
      <c r="J18" s="163"/>
      <c r="K18" s="163"/>
      <c r="L18" s="163"/>
      <c r="M18" s="32"/>
      <c r="N18" s="32"/>
      <c r="O18" s="32"/>
      <c r="P18" s="32"/>
      <c r="Q18" s="32"/>
      <c r="R18" s="32"/>
      <c r="S18" s="32"/>
      <c r="T18" s="32"/>
      <c r="U18" s="32"/>
      <c r="V18" s="32"/>
      <c r="W18" s="32"/>
    </row>
    <row r="19" spans="2:23" ht="22.15" customHeight="1">
      <c r="B19" s="516">
        <v>2</v>
      </c>
      <c r="C19" s="517" t="s">
        <v>1201</v>
      </c>
      <c r="D19" s="518" t="s">
        <v>525</v>
      </c>
      <c r="E19" s="518" t="s">
        <v>80</v>
      </c>
      <c r="F19" s="499" t="e">
        <f>+'2.THOP-NC+MTC'!#REF!+'2.THOP-NC+MTC'!#REF!+'2.THOP-NC+MTC'!#REF!</f>
        <v>#REF!</v>
      </c>
      <c r="G19" s="499"/>
      <c r="H19" s="499" t="e">
        <f>+'2.THOP-NC+MTC'!#REF!+'2.THOP-NC+MTC'!#REF!+'2.THOP-NC+MTC'!#REF!</f>
        <v>#REF!</v>
      </c>
      <c r="I19" s="499" t="e">
        <f>SUM(F19:H19)</f>
        <v>#REF!</v>
      </c>
      <c r="O19" s="519" t="s">
        <v>1136</v>
      </c>
      <c r="P19" s="394"/>
    </row>
    <row r="20" spans="2:23" ht="22.15" customHeight="1">
      <c r="B20" s="516">
        <v>3</v>
      </c>
      <c r="C20" s="517" t="s">
        <v>1202</v>
      </c>
      <c r="D20" s="518" t="s">
        <v>526</v>
      </c>
      <c r="E20" s="518" t="s">
        <v>80</v>
      </c>
      <c r="F20" s="499" t="e">
        <f>+'2.THOP-NC+MTC'!#REF!+'2.THOP-NC+MTC'!#REF!+'2.THOP-NC+MTC'!#REF!</f>
        <v>#REF!</v>
      </c>
      <c r="G20" s="499"/>
      <c r="H20" s="499" t="e">
        <f>+'2.THOP-NC+MTC'!#REF!+'2.THOP-NC+MTC'!#REF!+'2.THOP-NC+MTC'!#REF!</f>
        <v>#REF!</v>
      </c>
      <c r="I20" s="499" t="e">
        <f>SUM(F20:H20)</f>
        <v>#REF!</v>
      </c>
      <c r="M20" s="347">
        <v>10000000</v>
      </c>
      <c r="O20" s="394"/>
      <c r="P20" s="520" t="s">
        <v>1137</v>
      </c>
    </row>
    <row r="21" spans="2:23" ht="22.15" customHeight="1">
      <c r="B21" s="516">
        <v>4</v>
      </c>
      <c r="C21" s="517" t="s">
        <v>278</v>
      </c>
      <c r="D21" s="518" t="s">
        <v>26</v>
      </c>
      <c r="E21" s="518" t="s">
        <v>527</v>
      </c>
      <c r="F21" s="500" t="e">
        <f>65%*F19</f>
        <v>#REF!</v>
      </c>
      <c r="G21" s="500">
        <f t="shared" ref="G21" si="3">65%*G19</f>
        <v>0</v>
      </c>
      <c r="H21" s="500" t="e">
        <f>65%*H19</f>
        <v>#REF!</v>
      </c>
      <c r="I21" s="347" t="e">
        <f>65%*I19</f>
        <v>#REF!</v>
      </c>
    </row>
    <row r="22" spans="2:23" ht="30">
      <c r="B22" s="516">
        <v>5</v>
      </c>
      <c r="C22" s="517" t="s">
        <v>528</v>
      </c>
      <c r="D22" s="518" t="s">
        <v>247</v>
      </c>
      <c r="E22" s="518" t="s">
        <v>529</v>
      </c>
      <c r="F22" s="517" t="e">
        <f>6%*(F18+F19+F20+F21)</f>
        <v>#REF!</v>
      </c>
      <c r="G22" s="517">
        <f>6%*(G18+G19+G20+G21)</f>
        <v>0</v>
      </c>
      <c r="H22" s="517" t="e">
        <f>6%*(H18+H19+H20+H21)</f>
        <v>#REF!</v>
      </c>
      <c r="I22" s="347" t="e">
        <f>6%*(I18+I19+I20+I21)</f>
        <v>#REF!</v>
      </c>
    </row>
    <row r="23" spans="2:23" ht="22.15" customHeight="1">
      <c r="B23" s="505">
        <v>6</v>
      </c>
      <c r="C23" s="511" t="s">
        <v>530</v>
      </c>
      <c r="D23" s="506" t="s">
        <v>97</v>
      </c>
      <c r="E23" s="506" t="s">
        <v>523</v>
      </c>
      <c r="F23" s="511" t="e">
        <f>+F18+F19+F20+F21+F22</f>
        <v>#REF!</v>
      </c>
      <c r="G23" s="511">
        <f>+G18+G19+G20+G21+G22</f>
        <v>0</v>
      </c>
      <c r="H23" s="511" t="e">
        <f>+H18+H19+H20+H21+H22</f>
        <v>#REF!</v>
      </c>
      <c r="I23" s="511" t="e">
        <f>ROUNDDOWN(SUM(F23:H23),0)</f>
        <v>#REF!</v>
      </c>
      <c r="J23" s="326"/>
      <c r="K23" s="326"/>
      <c r="L23" s="326"/>
    </row>
    <row r="24" spans="2:23" s="105" customFormat="1" ht="22.15" customHeight="1">
      <c r="B24" s="521" t="s">
        <v>26</v>
      </c>
      <c r="C24" s="522" t="s">
        <v>31</v>
      </c>
      <c r="D24" s="523" t="s">
        <v>1198</v>
      </c>
      <c r="E24" s="523"/>
      <c r="F24" s="335" t="e">
        <f>SUM(F25:F26)</f>
        <v>#REF!</v>
      </c>
      <c r="G24" s="335">
        <f t="shared" ref="G24" si="4">SUM(G25:G26)</f>
        <v>0</v>
      </c>
      <c r="H24" s="335" t="e">
        <f>SUM(H25:H26)</f>
        <v>#REF!</v>
      </c>
      <c r="I24" s="346" t="e">
        <f>SUM(I25:I26)</f>
        <v>#REF!</v>
      </c>
      <c r="J24" s="379"/>
    </row>
    <row r="25" spans="2:23" ht="22.15" customHeight="1">
      <c r="B25" s="516">
        <v>1</v>
      </c>
      <c r="C25" s="517" t="s">
        <v>531</v>
      </c>
      <c r="D25" s="518" t="s">
        <v>532</v>
      </c>
      <c r="E25" s="518" t="s">
        <v>533</v>
      </c>
      <c r="F25" s="513" t="e">
        <f>2.2%*(F18+F19+F20)</f>
        <v>#REF!</v>
      </c>
      <c r="G25" s="513">
        <f>2.2%*(G18+G19+G20)</f>
        <v>0</v>
      </c>
      <c r="H25" s="513" t="e">
        <f>2.2%*(H18+H19+H20)</f>
        <v>#REF!</v>
      </c>
      <c r="I25" s="347" t="e">
        <f>SUM(F25:H25)</f>
        <v>#REF!</v>
      </c>
    </row>
    <row r="26" spans="2:23" ht="22.15" customHeight="1">
      <c r="B26" s="516">
        <v>2</v>
      </c>
      <c r="C26" s="517" t="s">
        <v>1203</v>
      </c>
      <c r="D26" s="518" t="s">
        <v>1204</v>
      </c>
      <c r="E26" s="514" t="s">
        <v>21</v>
      </c>
      <c r="F26" s="513"/>
      <c r="G26" s="513"/>
      <c r="H26" s="517"/>
      <c r="I26" s="347">
        <f>+THKĐ!E21</f>
        <v>45506118</v>
      </c>
    </row>
    <row r="27" spans="2:23" ht="28.5">
      <c r="B27" s="507" t="s">
        <v>28</v>
      </c>
      <c r="C27" s="508" t="s">
        <v>32</v>
      </c>
      <c r="D27" s="515" t="s">
        <v>1199</v>
      </c>
      <c r="E27" s="515" t="s">
        <v>695</v>
      </c>
      <c r="F27" s="509"/>
      <c r="G27" s="509"/>
      <c r="H27" s="509"/>
      <c r="I27" s="508" t="e">
        <f>ROUND(5%*(I8+I17+I24),0)</f>
        <v>#REF!</v>
      </c>
      <c r="J27" s="328"/>
      <c r="K27" s="326"/>
      <c r="L27" s="326"/>
    </row>
    <row r="28" spans="2:23" ht="30">
      <c r="B28" s="507" t="s">
        <v>120</v>
      </c>
      <c r="C28" s="508" t="s">
        <v>94</v>
      </c>
      <c r="D28" s="509" t="s">
        <v>1200</v>
      </c>
      <c r="E28" s="509" t="s">
        <v>9</v>
      </c>
      <c r="F28" s="509"/>
      <c r="G28" s="509"/>
      <c r="H28" s="509"/>
      <c r="I28" s="508" t="e">
        <f>+'5.VTTH'!H46</f>
        <v>#REF!</v>
      </c>
      <c r="J28" s="380"/>
      <c r="K28" s="326"/>
      <c r="L28" s="326"/>
    </row>
    <row r="29" spans="2:23" ht="22.15" customHeight="1">
      <c r="B29" s="524" t="s">
        <v>534</v>
      </c>
      <c r="C29" s="525" t="s">
        <v>76</v>
      </c>
      <c r="D29" s="526"/>
      <c r="E29" s="526" t="s">
        <v>119</v>
      </c>
      <c r="F29" s="526"/>
      <c r="G29" s="526"/>
      <c r="H29" s="526"/>
      <c r="I29" s="525" t="e">
        <f>ROUND(I17+I8+I24+I27-I28,0)</f>
        <v>#REF!</v>
      </c>
      <c r="J29" s="328"/>
      <c r="K29" s="326"/>
      <c r="L29" s="361"/>
    </row>
    <row r="31" spans="2:23" ht="25.15" customHeight="1">
      <c r="B31" s="986" t="s">
        <v>493</v>
      </c>
      <c r="C31" s="986"/>
      <c r="D31" s="986" t="s">
        <v>497</v>
      </c>
      <c r="E31" s="986"/>
      <c r="F31" s="986"/>
      <c r="G31" s="986"/>
      <c r="H31" s="986"/>
      <c r="I31" s="986"/>
      <c r="J31" s="986"/>
      <c r="K31" s="110"/>
    </row>
    <row r="32" spans="2:23" ht="16.5">
      <c r="B32" s="527"/>
      <c r="C32" s="527"/>
      <c r="D32" s="527"/>
      <c r="E32" s="527"/>
      <c r="F32" s="527"/>
      <c r="G32" s="527"/>
      <c r="H32" s="527"/>
      <c r="I32" s="527"/>
      <c r="J32" s="527"/>
    </row>
    <row r="33" spans="2:13" ht="16.5">
      <c r="B33" s="527"/>
      <c r="C33" s="527"/>
      <c r="D33" s="527"/>
      <c r="E33" s="527"/>
      <c r="F33" s="527"/>
      <c r="G33" s="527"/>
      <c r="H33" s="527"/>
      <c r="I33" s="527"/>
      <c r="J33" s="527"/>
    </row>
    <row r="34" spans="2:13" ht="16.5">
      <c r="B34" s="527"/>
      <c r="C34" s="527"/>
      <c r="D34" s="527"/>
      <c r="E34" s="527"/>
      <c r="F34" s="527"/>
      <c r="G34" s="527"/>
      <c r="H34" s="527"/>
      <c r="I34" s="527"/>
      <c r="J34" s="527"/>
    </row>
    <row r="35" spans="2:13" ht="16.5">
      <c r="B35" s="527"/>
      <c r="C35" s="527"/>
      <c r="D35" s="527"/>
      <c r="E35" s="527"/>
      <c r="F35" s="527"/>
      <c r="G35" s="527"/>
      <c r="H35" s="527"/>
      <c r="I35" s="527"/>
      <c r="J35" s="527"/>
      <c r="M35" s="110"/>
    </row>
    <row r="36" spans="2:13" ht="16.5">
      <c r="B36" s="986" t="s">
        <v>273</v>
      </c>
      <c r="C36" s="986"/>
      <c r="D36" s="986" t="s">
        <v>264</v>
      </c>
      <c r="E36" s="986"/>
      <c r="F36" s="986"/>
      <c r="G36" s="986"/>
      <c r="H36" s="986"/>
      <c r="I36" s="986"/>
      <c r="J36" s="986"/>
    </row>
    <row r="37" spans="2:13" ht="16.5">
      <c r="B37" s="528"/>
      <c r="C37" s="528"/>
      <c r="D37" s="528"/>
      <c r="E37" s="528"/>
      <c r="F37" s="528"/>
      <c r="G37" s="528"/>
      <c r="H37" s="528"/>
      <c r="I37" s="528"/>
      <c r="J37" s="528"/>
    </row>
    <row r="38" spans="2:13" ht="16.5">
      <c r="B38" s="528"/>
      <c r="C38" s="528"/>
      <c r="D38" s="528"/>
      <c r="E38" s="528"/>
      <c r="F38" s="528"/>
      <c r="G38" s="528"/>
      <c r="H38" s="528"/>
      <c r="I38" s="528"/>
      <c r="J38" s="528"/>
    </row>
    <row r="43" spans="2:13" ht="15.75" thickBot="1">
      <c r="K43" s="110"/>
      <c r="L43" s="110"/>
    </row>
    <row r="44" spans="2:13" ht="17.25" thickBot="1">
      <c r="K44" s="336"/>
    </row>
    <row r="45" spans="2:13" ht="17.25" thickBot="1">
      <c r="K45" s="337"/>
    </row>
    <row r="46" spans="2:13" ht="17.25" thickBot="1">
      <c r="K46" s="337"/>
    </row>
    <row r="47" spans="2:13" ht="17.25" thickBot="1">
      <c r="K47" s="337"/>
    </row>
    <row r="48" spans="2:13" ht="17.25" thickBot="1">
      <c r="K48" s="337"/>
    </row>
  </sheetData>
  <mergeCells count="13">
    <mergeCell ref="B2:I2"/>
    <mergeCell ref="B3:I3"/>
    <mergeCell ref="B31:C31"/>
    <mergeCell ref="D31:J31"/>
    <mergeCell ref="B36:C36"/>
    <mergeCell ref="D36:J36"/>
    <mergeCell ref="E5:E6"/>
    <mergeCell ref="I5:I6"/>
    <mergeCell ref="B5:B6"/>
    <mergeCell ref="C5:C6"/>
    <mergeCell ref="D5:D6"/>
    <mergeCell ref="J5:J6"/>
    <mergeCell ref="F5:H5"/>
  </mergeCells>
  <printOptions horizontalCentered="1"/>
  <pageMargins left="0.17" right="0.17" top="0.34" bottom="0.28000000000000003" header="0.49" footer="0.23622047244094491"/>
  <pageSetup paperSize="9" firstPageNumber="6"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J30"/>
  <sheetViews>
    <sheetView workbookViewId="0">
      <selection activeCell="D28" sqref="D28:F28"/>
    </sheetView>
  </sheetViews>
  <sheetFormatPr defaultColWidth="9.33203125" defaultRowHeight="15"/>
  <cols>
    <col min="1" max="1" width="1.6640625" style="31" customWidth="1"/>
    <col min="2" max="2" width="5" style="31" customWidth="1"/>
    <col min="3" max="3" width="67.83203125" style="31" customWidth="1"/>
    <col min="4" max="4" width="8.1640625" style="31" customWidth="1"/>
    <col min="5" max="5" width="29" style="31" customWidth="1"/>
    <col min="6" max="6" width="24.83203125" style="31" customWidth="1"/>
    <col min="7" max="7" width="12.6640625" style="31" bestFit="1" customWidth="1"/>
    <col min="8" max="8" width="9.33203125" style="31"/>
    <col min="9" max="9" width="18.1640625" style="31" customWidth="1"/>
    <col min="10" max="10" width="13" style="31" bestFit="1" customWidth="1"/>
    <col min="11" max="16384" width="9.33203125" style="31"/>
  </cols>
  <sheetData>
    <row r="1" spans="2:10" ht="6.75" customHeight="1"/>
    <row r="2" spans="2:10" ht="29.25" customHeight="1">
      <c r="B2" s="993" t="s">
        <v>118</v>
      </c>
      <c r="C2" s="993"/>
      <c r="D2" s="993"/>
      <c r="E2" s="993"/>
      <c r="F2" s="993"/>
    </row>
    <row r="3" spans="2:10" ht="21" customHeight="1">
      <c r="B3" s="994" t="s">
        <v>507</v>
      </c>
      <c r="C3" s="994"/>
      <c r="D3" s="994"/>
      <c r="E3" s="994"/>
      <c r="F3" s="994"/>
    </row>
    <row r="4" spans="2:10" ht="16.899999999999999" customHeight="1">
      <c r="B4" s="19"/>
      <c r="C4" s="20"/>
      <c r="D4" s="20"/>
      <c r="E4" s="20"/>
      <c r="F4" s="20"/>
    </row>
    <row r="5" spans="2:10" s="50" customFormat="1" ht="20.45" customHeight="1">
      <c r="B5" s="996" t="s">
        <v>22</v>
      </c>
      <c r="C5" s="996" t="s">
        <v>35</v>
      </c>
      <c r="D5" s="995" t="s">
        <v>36</v>
      </c>
      <c r="E5" s="995" t="s">
        <v>37</v>
      </c>
      <c r="F5" s="995" t="s">
        <v>11</v>
      </c>
    </row>
    <row r="6" spans="2:10" s="50" customFormat="1" ht="24.75" customHeight="1">
      <c r="B6" s="996"/>
      <c r="C6" s="996"/>
      <c r="D6" s="995"/>
      <c r="E6" s="995"/>
      <c r="F6" s="995"/>
    </row>
    <row r="7" spans="2:10" ht="22.5" customHeight="1">
      <c r="B7" s="164" t="s">
        <v>24</v>
      </c>
      <c r="C7" s="48" t="s">
        <v>38</v>
      </c>
      <c r="D7" s="165" t="s">
        <v>291</v>
      </c>
      <c r="E7" s="49" t="s">
        <v>80</v>
      </c>
      <c r="F7" s="166" t="e">
        <f>#REF!</f>
        <v>#REF!</v>
      </c>
      <c r="G7" s="313" t="e">
        <f>ROUNDUP(F7,-6)</f>
        <v>#REF!</v>
      </c>
      <c r="J7" s="313">
        <f>SUM(I8:I11)</f>
        <v>985642547</v>
      </c>
    </row>
    <row r="8" spans="2:10" ht="20.45" hidden="1" customHeight="1">
      <c r="B8" s="167"/>
      <c r="C8" s="168" t="s">
        <v>4</v>
      </c>
      <c r="D8" s="169"/>
      <c r="E8" s="170"/>
      <c r="F8" s="166"/>
      <c r="I8" s="313">
        <v>830917546</v>
      </c>
      <c r="J8" s="313">
        <f>+J7-I12</f>
        <v>983871797</v>
      </c>
    </row>
    <row r="9" spans="2:10" s="50" customFormat="1" ht="20.45" customHeight="1">
      <c r="B9" s="164" t="s">
        <v>25</v>
      </c>
      <c r="C9" s="171" t="s">
        <v>39</v>
      </c>
      <c r="D9" s="165" t="s">
        <v>292</v>
      </c>
      <c r="E9" s="172" t="s">
        <v>34</v>
      </c>
      <c r="F9" s="166" t="e">
        <f>SUM(F11:F15)</f>
        <v>#REF!</v>
      </c>
      <c r="G9" s="313" t="e">
        <f>ROUNDUP(F9,-6)</f>
        <v>#REF!</v>
      </c>
      <c r="I9" s="314">
        <v>107789642</v>
      </c>
    </row>
    <row r="10" spans="2:10" ht="20.45" hidden="1" customHeight="1">
      <c r="B10" s="173" t="s">
        <v>43</v>
      </c>
      <c r="C10" s="171" t="s">
        <v>42</v>
      </c>
      <c r="D10" s="169"/>
      <c r="E10" s="170"/>
      <c r="F10" s="166"/>
      <c r="I10" s="31">
        <v>0</v>
      </c>
    </row>
    <row r="11" spans="2:10" ht="20.45" hidden="1" customHeight="1">
      <c r="B11" s="167">
        <v>1</v>
      </c>
      <c r="C11" s="168" t="s">
        <v>75</v>
      </c>
      <c r="D11" s="169"/>
      <c r="E11" s="170" t="s">
        <v>81</v>
      </c>
      <c r="F11" s="174" t="e">
        <f>+'2.THOP-NC+MTC'!#REF!+'2.THOP-NC+MTC'!#REF!+'2.THOP-NC+MTC'!#REF!</f>
        <v>#REF!</v>
      </c>
      <c r="I11" s="313">
        <v>46935359</v>
      </c>
    </row>
    <row r="12" spans="2:10" ht="20.45" hidden="1" customHeight="1">
      <c r="B12" s="167">
        <v>2</v>
      </c>
      <c r="C12" s="168" t="s">
        <v>68</v>
      </c>
      <c r="D12" s="169"/>
      <c r="E12" s="170" t="s">
        <v>82</v>
      </c>
      <c r="F12" s="174">
        <v>0</v>
      </c>
      <c r="I12" s="313">
        <v>1770750</v>
      </c>
    </row>
    <row r="13" spans="2:10" ht="20.45" hidden="1" customHeight="1">
      <c r="B13" s="173" t="s">
        <v>44</v>
      </c>
      <c r="C13" s="171" t="s">
        <v>71</v>
      </c>
      <c r="D13" s="169"/>
      <c r="E13" s="170"/>
      <c r="F13" s="166"/>
    </row>
    <row r="14" spans="2:10" ht="20.45" hidden="1" customHeight="1">
      <c r="B14" s="167">
        <v>1</v>
      </c>
      <c r="C14" s="168" t="s">
        <v>72</v>
      </c>
      <c r="D14" s="169"/>
      <c r="E14" s="170" t="s">
        <v>21</v>
      </c>
      <c r="F14" s="174" t="e">
        <f>#REF!</f>
        <v>#REF!</v>
      </c>
    </row>
    <row r="15" spans="2:10" ht="20.45" hidden="1" customHeight="1">
      <c r="B15" s="167">
        <v>2</v>
      </c>
      <c r="C15" s="168" t="s">
        <v>5</v>
      </c>
      <c r="D15" s="169"/>
      <c r="E15" s="170" t="s">
        <v>6</v>
      </c>
      <c r="F15" s="174">
        <v>0</v>
      </c>
    </row>
    <row r="16" spans="2:10" s="50" customFormat="1" ht="20.45" customHeight="1">
      <c r="B16" s="164" t="s">
        <v>26</v>
      </c>
      <c r="C16" s="48" t="s">
        <v>31</v>
      </c>
      <c r="D16" s="165" t="s">
        <v>293</v>
      </c>
      <c r="E16" s="172" t="s">
        <v>34</v>
      </c>
      <c r="F16" s="166">
        <f>F17</f>
        <v>0</v>
      </c>
    </row>
    <row r="17" spans="2:9" ht="20.45" hidden="1" customHeight="1">
      <c r="B17" s="167"/>
      <c r="C17" s="168" t="s">
        <v>7</v>
      </c>
      <c r="D17" s="169"/>
      <c r="E17" s="175" t="s">
        <v>8</v>
      </c>
      <c r="F17" s="174">
        <v>0</v>
      </c>
    </row>
    <row r="18" spans="2:9" ht="20.45" customHeight="1">
      <c r="B18" s="164" t="s">
        <v>28</v>
      </c>
      <c r="C18" s="48" t="s">
        <v>32</v>
      </c>
      <c r="D18" s="158" t="s">
        <v>294</v>
      </c>
      <c r="E18" s="225" t="s">
        <v>337</v>
      </c>
      <c r="F18" s="166" t="e">
        <f>0.05*(F7+F9+F16)</f>
        <v>#REF!</v>
      </c>
      <c r="G18" s="313" t="e">
        <f>ROUNDUP(F18,-6)</f>
        <v>#REF!</v>
      </c>
      <c r="H18" s="31" t="s">
        <v>338</v>
      </c>
    </row>
    <row r="19" spans="2:9" ht="29.25" customHeight="1">
      <c r="B19" s="164" t="s">
        <v>120</v>
      </c>
      <c r="C19" s="48" t="s">
        <v>94</v>
      </c>
      <c r="D19" s="158" t="s">
        <v>295</v>
      </c>
      <c r="E19" s="49" t="s">
        <v>9</v>
      </c>
      <c r="F19" s="166" t="e">
        <f>'5.VTTH'!H46</f>
        <v>#REF!</v>
      </c>
      <c r="G19" s="313">
        <v>4000000</v>
      </c>
    </row>
    <row r="20" spans="2:9" ht="20.45" customHeight="1">
      <c r="B20" s="158" t="s">
        <v>40</v>
      </c>
      <c r="C20" s="48" t="s">
        <v>76</v>
      </c>
      <c r="D20" s="158"/>
      <c r="E20" s="49" t="s">
        <v>119</v>
      </c>
      <c r="F20" s="166" t="e">
        <f>ROUNDDOWN(F7+F9+F16+F18-F19,3)</f>
        <v>#REF!</v>
      </c>
      <c r="G20" s="313" t="e">
        <f>G7+G9+G18-G19</f>
        <v>#REF!</v>
      </c>
      <c r="I20" s="166">
        <v>2200000000</v>
      </c>
    </row>
    <row r="21" spans="2:9" s="51" customFormat="1" ht="21" hidden="1" customHeight="1" thickBot="1">
      <c r="B21" s="998" t="s">
        <v>116</v>
      </c>
      <c r="C21" s="999"/>
      <c r="D21" s="999"/>
      <c r="E21" s="999"/>
      <c r="F21" s="1000"/>
    </row>
    <row r="23" spans="2:9" ht="25.15" customHeight="1">
      <c r="B23" s="997" t="s">
        <v>493</v>
      </c>
      <c r="C23" s="997"/>
      <c r="D23" s="997" t="s">
        <v>497</v>
      </c>
      <c r="E23" s="997"/>
      <c r="F23" s="997"/>
    </row>
    <row r="24" spans="2:9" ht="16.5">
      <c r="B24" s="322"/>
      <c r="C24" s="322"/>
      <c r="D24" s="322"/>
      <c r="E24" s="322"/>
      <c r="F24" s="322"/>
      <c r="G24" s="31" t="e">
        <f>F7*5%</f>
        <v>#REF!</v>
      </c>
    </row>
    <row r="25" spans="2:9" ht="16.5">
      <c r="B25" s="322"/>
      <c r="C25" s="322"/>
      <c r="D25" s="322"/>
      <c r="E25" s="322"/>
      <c r="F25" s="322"/>
    </row>
    <row r="26" spans="2:9" ht="16.5">
      <c r="B26" s="322"/>
      <c r="C26" s="322"/>
      <c r="D26" s="322"/>
      <c r="E26" s="322"/>
      <c r="F26" s="322"/>
      <c r="I26" s="166" t="e">
        <f>F7+F18</f>
        <v>#REF!</v>
      </c>
    </row>
    <row r="27" spans="2:9" ht="16.5">
      <c r="B27" s="322"/>
      <c r="C27" s="322"/>
      <c r="D27" s="322"/>
      <c r="E27" s="322"/>
      <c r="F27" s="322"/>
      <c r="I27" s="313" t="e">
        <f>I26-F19</f>
        <v>#REF!</v>
      </c>
    </row>
    <row r="28" spans="2:9" ht="16.5">
      <c r="B28" s="997" t="s">
        <v>273</v>
      </c>
      <c r="C28" s="997"/>
      <c r="D28" s="997" t="s">
        <v>264</v>
      </c>
      <c r="E28" s="997"/>
      <c r="F28" s="997"/>
    </row>
    <row r="29" spans="2:9" ht="16.5">
      <c r="B29" s="323"/>
      <c r="C29" s="323"/>
      <c r="D29" s="323"/>
      <c r="E29" s="323"/>
      <c r="F29" s="323"/>
    </row>
    <row r="30" spans="2:9" ht="16.5">
      <c r="B30" s="323"/>
      <c r="C30" s="323"/>
      <c r="D30" s="323"/>
      <c r="E30" s="323"/>
      <c r="F30" s="323"/>
    </row>
  </sheetData>
  <mergeCells count="12">
    <mergeCell ref="B23:C23"/>
    <mergeCell ref="B28:C28"/>
    <mergeCell ref="D23:F23"/>
    <mergeCell ref="D28:F28"/>
    <mergeCell ref="B21:F21"/>
    <mergeCell ref="B2:F2"/>
    <mergeCell ref="B3:F3"/>
    <mergeCell ref="E5:E6"/>
    <mergeCell ref="D5:D6"/>
    <mergeCell ref="C5:C6"/>
    <mergeCell ref="B5:B6"/>
    <mergeCell ref="F5:F6"/>
  </mergeCells>
  <phoneticPr fontId="0" type="noConversion"/>
  <dataValidations disablePrompts="1" count="1">
    <dataValidation allowBlank="1" showInputMessage="1" showErrorMessage="1" prompt="He so: 1,2_x000a_CV :616" sqref="D17" xr:uid="{00000000-0002-0000-0400-000000000000}"/>
  </dataValidations>
  <printOptions horizontalCentered="1"/>
  <pageMargins left="0.59055118110236227" right="0.39370078740157483" top="0.23" bottom="0.28000000000000003" header="0.39" footer="0.23622047244094491"/>
  <pageSetup paperSize="9" scale="107" firstPageNumber="6"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D1664-305A-4988-A09E-9A16B3E21E60}">
  <sheetPr>
    <tabColor rgb="FFFFC000"/>
  </sheetPr>
  <dimension ref="A1:AB280"/>
  <sheetViews>
    <sheetView zoomScale="110" zoomScaleNormal="110" workbookViewId="0">
      <pane ySplit="6" topLeftCell="A271" activePane="bottomLeft" state="frozen"/>
      <selection pane="bottomLeft" activeCell="A277" sqref="A277:XFD291"/>
    </sheetView>
  </sheetViews>
  <sheetFormatPr defaultColWidth="8.83203125" defaultRowHeight="15"/>
  <cols>
    <col min="1" max="1" width="10.83203125" style="312" customWidth="1"/>
    <col min="2" max="2" width="56.5" style="546" customWidth="1"/>
    <col min="3" max="3" width="9.5" style="312" customWidth="1"/>
    <col min="4" max="4" width="13.33203125" style="312" customWidth="1"/>
    <col min="5" max="5" width="16" style="639" customWidth="1"/>
    <col min="6" max="6" width="15.6640625" style="639" customWidth="1"/>
    <col min="7" max="7" width="18.5" style="639" customWidth="1"/>
    <col min="8" max="8" width="15.6640625" style="639" customWidth="1"/>
    <col min="9" max="9" width="18.83203125" style="639" customWidth="1"/>
    <col min="10" max="10" width="20.1640625" style="639" customWidth="1"/>
    <col min="11" max="11" width="18.5" style="639" customWidth="1"/>
    <col min="12" max="12" width="15.6640625" style="639" customWidth="1"/>
    <col min="13" max="13" width="12.5" style="551" customWidth="1"/>
    <col min="14" max="14" width="12.6640625" style="551" bestFit="1" customWidth="1"/>
    <col min="15" max="15" width="7.83203125" style="551" customWidth="1"/>
    <col min="16" max="16" width="11.5" style="551" customWidth="1"/>
    <col min="17" max="17" width="11.1640625" style="551" customWidth="1"/>
    <col min="18" max="18" width="11.5" style="551" customWidth="1"/>
    <col min="19" max="19" width="10.83203125" style="551" bestFit="1" customWidth="1"/>
    <col min="20" max="20" width="9.33203125" style="551" bestFit="1" customWidth="1"/>
    <col min="21" max="21" width="9" style="551" bestFit="1" customWidth="1"/>
    <col min="22" max="23" width="8.83203125" style="551"/>
    <col min="24" max="24" width="20.1640625" style="551" customWidth="1"/>
    <col min="25" max="25" width="9.1640625" style="551" bestFit="1" customWidth="1"/>
    <col min="26" max="28" width="10.5" style="551" bestFit="1" customWidth="1"/>
    <col min="29" max="16384" width="8.83203125" style="551"/>
  </cols>
  <sheetData>
    <row r="1" spans="1:28">
      <c r="A1" s="553"/>
      <c r="C1" s="547"/>
      <c r="D1" s="548"/>
      <c r="E1" s="549"/>
      <c r="F1" s="549"/>
      <c r="G1" s="550"/>
      <c r="H1" s="549"/>
      <c r="I1" s="549"/>
      <c r="J1" s="549"/>
      <c r="K1" s="549"/>
      <c r="L1" s="550"/>
      <c r="N1" s="552" t="s">
        <v>297</v>
      </c>
      <c r="O1" s="338"/>
      <c r="P1" s="338">
        <v>298431</v>
      </c>
      <c r="Q1" s="338"/>
      <c r="R1" s="338">
        <v>319345</v>
      </c>
      <c r="S1" s="564">
        <v>341605</v>
      </c>
      <c r="T1" s="548" t="s">
        <v>669</v>
      </c>
    </row>
    <row r="2" spans="1:28" ht="21" customHeight="1">
      <c r="A2" s="929" t="s">
        <v>1066</v>
      </c>
      <c r="B2" s="929"/>
      <c r="C2" s="929"/>
      <c r="D2" s="929"/>
      <c r="E2" s="929"/>
      <c r="F2" s="929"/>
      <c r="G2" s="929"/>
      <c r="H2" s="929"/>
      <c r="I2" s="929"/>
      <c r="J2" s="929"/>
      <c r="K2" s="929"/>
      <c r="L2" s="929"/>
      <c r="N2" s="552" t="s">
        <v>298</v>
      </c>
      <c r="O2" s="338"/>
      <c r="P2" s="338">
        <v>320183</v>
      </c>
      <c r="Q2" s="338"/>
      <c r="R2" s="338">
        <v>343318</v>
      </c>
      <c r="S2" s="564">
        <v>367229</v>
      </c>
    </row>
    <row r="3" spans="1:28" ht="21.6" customHeight="1">
      <c r="A3" s="938" t="s">
        <v>1031</v>
      </c>
      <c r="B3" s="938"/>
      <c r="C3" s="938"/>
      <c r="D3" s="938"/>
      <c r="E3" s="938"/>
      <c r="F3" s="938"/>
      <c r="G3" s="938"/>
      <c r="H3" s="938"/>
      <c r="I3" s="938"/>
      <c r="J3" s="938"/>
      <c r="K3" s="938"/>
      <c r="L3" s="938"/>
      <c r="N3" s="552" t="s">
        <v>299</v>
      </c>
      <c r="O3" s="338"/>
      <c r="P3" s="338">
        <v>343195</v>
      </c>
      <c r="Q3" s="338"/>
      <c r="R3" s="338">
        <v>367290</v>
      </c>
      <c r="S3" s="564">
        <v>392852</v>
      </c>
    </row>
    <row r="4" spans="1:28" ht="15.75" thickBot="1">
      <c r="A4" s="548"/>
      <c r="C4" s="547"/>
      <c r="D4" s="548"/>
      <c r="E4" s="549"/>
      <c r="F4" s="549"/>
      <c r="G4" s="550"/>
      <c r="H4" s="549"/>
      <c r="I4" s="549"/>
      <c r="J4" s="549"/>
      <c r="K4" s="549"/>
      <c r="L4" s="550"/>
      <c r="N4" s="552" t="s">
        <v>300</v>
      </c>
      <c r="O4" s="338"/>
      <c r="P4" s="338">
        <v>368941</v>
      </c>
      <c r="Q4" s="338"/>
      <c r="R4" s="338">
        <v>394809</v>
      </c>
      <c r="S4" s="564">
        <v>422328</v>
      </c>
    </row>
    <row r="5" spans="1:28" ht="18" customHeight="1" thickTop="1">
      <c r="A5" s="932" t="s">
        <v>83</v>
      </c>
      <c r="B5" s="934" t="s">
        <v>53</v>
      </c>
      <c r="C5" s="936" t="s">
        <v>47</v>
      </c>
      <c r="D5" s="934" t="s">
        <v>14</v>
      </c>
      <c r="E5" s="930" t="s">
        <v>48</v>
      </c>
      <c r="F5" s="930"/>
      <c r="G5" s="930"/>
      <c r="H5" s="930"/>
      <c r="I5" s="930" t="s">
        <v>84</v>
      </c>
      <c r="J5" s="930"/>
      <c r="K5" s="930"/>
      <c r="L5" s="931"/>
      <c r="N5" s="552" t="s">
        <v>301</v>
      </c>
      <c r="O5" s="338"/>
      <c r="P5" s="338">
        <v>394687</v>
      </c>
      <c r="Q5" s="338"/>
      <c r="R5" s="338">
        <v>422328</v>
      </c>
      <c r="S5" s="564">
        <v>451805</v>
      </c>
    </row>
    <row r="6" spans="1:28" ht="42.75">
      <c r="A6" s="933"/>
      <c r="B6" s="935"/>
      <c r="C6" s="937"/>
      <c r="D6" s="935"/>
      <c r="E6" s="554" t="s">
        <v>160</v>
      </c>
      <c r="F6" s="554" t="s">
        <v>161</v>
      </c>
      <c r="G6" s="555" t="s">
        <v>92</v>
      </c>
      <c r="H6" s="556" t="s">
        <v>33</v>
      </c>
      <c r="I6" s="554" t="s">
        <v>160</v>
      </c>
      <c r="J6" s="554" t="s">
        <v>161</v>
      </c>
      <c r="K6" s="556" t="s">
        <v>85</v>
      </c>
      <c r="L6" s="557" t="s">
        <v>33</v>
      </c>
      <c r="M6" s="551" t="s">
        <v>486</v>
      </c>
      <c r="N6" s="564"/>
      <c r="O6" s="564"/>
      <c r="P6" s="564" t="s">
        <v>40</v>
      </c>
      <c r="Q6" s="941" t="s">
        <v>41</v>
      </c>
      <c r="R6" s="941"/>
      <c r="S6" s="709" t="s">
        <v>45</v>
      </c>
      <c r="W6" s="928" t="s">
        <v>1032</v>
      </c>
      <c r="X6" s="928"/>
      <c r="Y6" s="928"/>
      <c r="Z6" s="928"/>
      <c r="AA6" s="928"/>
      <c r="AB6" s="928"/>
    </row>
    <row r="7" spans="1:28" ht="19.149999999999999" customHeight="1">
      <c r="A7" s="558">
        <v>1</v>
      </c>
      <c r="B7" s="559">
        <v>2</v>
      </c>
      <c r="C7" s="560">
        <v>3</v>
      </c>
      <c r="D7" s="561">
        <v>4</v>
      </c>
      <c r="E7" s="561">
        <v>5</v>
      </c>
      <c r="F7" s="561">
        <v>6</v>
      </c>
      <c r="G7" s="562">
        <v>7</v>
      </c>
      <c r="H7" s="561">
        <v>8</v>
      </c>
      <c r="I7" s="561" t="s">
        <v>62</v>
      </c>
      <c r="J7" s="561" t="s">
        <v>63</v>
      </c>
      <c r="K7" s="561" t="s">
        <v>64</v>
      </c>
      <c r="L7" s="563" t="s">
        <v>93</v>
      </c>
      <c r="W7" s="564" t="s">
        <v>22</v>
      </c>
      <c r="X7" s="564" t="s">
        <v>1036</v>
      </c>
      <c r="Y7" s="564" t="s">
        <v>1037</v>
      </c>
      <c r="Z7" s="564" t="s">
        <v>1038</v>
      </c>
      <c r="AA7" s="564"/>
      <c r="AB7" s="564"/>
    </row>
    <row r="8" spans="1:28" ht="22.15" customHeight="1">
      <c r="A8" s="939" t="s">
        <v>98</v>
      </c>
      <c r="B8" s="940"/>
      <c r="C8" s="612"/>
      <c r="D8" s="612"/>
      <c r="E8" s="565"/>
      <c r="F8" s="565"/>
      <c r="G8" s="438"/>
      <c r="H8" s="565"/>
      <c r="I8" s="565"/>
      <c r="J8" s="565"/>
      <c r="K8" s="439"/>
      <c r="L8" s="566"/>
      <c r="M8" s="344"/>
      <c r="W8" s="564"/>
      <c r="X8" s="564"/>
      <c r="Y8" s="564"/>
      <c r="Z8" s="564" t="s">
        <v>41</v>
      </c>
      <c r="AA8" s="564" t="s">
        <v>45</v>
      </c>
      <c r="AB8" s="564" t="s">
        <v>46</v>
      </c>
    </row>
    <row r="9" spans="1:28" ht="22.15" customHeight="1">
      <c r="A9" s="939" t="s">
        <v>224</v>
      </c>
      <c r="B9" s="940"/>
      <c r="C9" s="612"/>
      <c r="D9" s="612"/>
      <c r="E9" s="565"/>
      <c r="F9" s="565"/>
      <c r="G9" s="438"/>
      <c r="H9" s="565"/>
      <c r="I9" s="565"/>
      <c r="J9" s="565"/>
      <c r="K9" s="565"/>
      <c r="L9" s="566"/>
      <c r="M9" s="344"/>
      <c r="R9" s="567"/>
      <c r="W9" s="564" t="s">
        <v>1039</v>
      </c>
      <c r="X9" s="564" t="s">
        <v>1040</v>
      </c>
      <c r="Y9" s="564">
        <v>1</v>
      </c>
      <c r="Z9" s="338">
        <v>167245</v>
      </c>
      <c r="AA9" s="338">
        <v>163705</v>
      </c>
      <c r="AB9" s="338">
        <v>157823</v>
      </c>
    </row>
    <row r="10" spans="1:28" ht="22.15" customHeight="1">
      <c r="A10" s="568" t="s">
        <v>40</v>
      </c>
      <c r="B10" s="569" t="s">
        <v>675</v>
      </c>
      <c r="C10" s="612"/>
      <c r="D10" s="612"/>
      <c r="E10" s="565"/>
      <c r="F10" s="565"/>
      <c r="G10" s="438"/>
      <c r="H10" s="565"/>
      <c r="I10" s="565"/>
      <c r="J10" s="565"/>
      <c r="K10" s="439"/>
      <c r="L10" s="566"/>
      <c r="R10" s="567"/>
      <c r="W10" s="564" t="s">
        <v>1041</v>
      </c>
      <c r="X10" s="564" t="s">
        <v>1042</v>
      </c>
      <c r="Y10" s="564">
        <v>1.0899999999999999</v>
      </c>
      <c r="Z10" s="338">
        <v>182297</v>
      </c>
      <c r="AA10" s="338">
        <v>178438</v>
      </c>
      <c r="AB10" s="338">
        <v>172027</v>
      </c>
    </row>
    <row r="11" spans="1:28" ht="22.15" customHeight="1">
      <c r="A11" s="570" t="s">
        <v>253</v>
      </c>
      <c r="B11" s="571" t="s">
        <v>584</v>
      </c>
      <c r="C11" s="572" t="s">
        <v>591</v>
      </c>
      <c r="D11" s="573">
        <v>1</v>
      </c>
      <c r="E11" s="565"/>
      <c r="F11" s="565"/>
      <c r="G11" s="438"/>
      <c r="H11" s="565"/>
      <c r="I11" s="574">
        <f>SUM(I12:I19)</f>
        <v>961939.35009599989</v>
      </c>
      <c r="J11" s="574">
        <f>SUM(J12:J19)</f>
        <v>0</v>
      </c>
      <c r="K11" s="574">
        <f>SUM(K12:K19)</f>
        <v>577250.97405000008</v>
      </c>
      <c r="L11" s="575">
        <f>SUM(L12:L19)</f>
        <v>53782.864476999996</v>
      </c>
      <c r="N11" s="551" t="s">
        <v>1035</v>
      </c>
      <c r="R11" s="567"/>
      <c r="W11" s="564" t="s">
        <v>1043</v>
      </c>
      <c r="X11" s="564" t="s">
        <v>1044</v>
      </c>
      <c r="Y11" s="564">
        <v>1.18</v>
      </c>
      <c r="Z11" s="338">
        <v>197349</v>
      </c>
      <c r="AA11" s="338">
        <v>193171</v>
      </c>
      <c r="AB11" s="338">
        <v>186231</v>
      </c>
    </row>
    <row r="12" spans="1:28" ht="22.15" customHeight="1">
      <c r="A12" s="576"/>
      <c r="B12" s="577" t="s">
        <v>599</v>
      </c>
      <c r="C12" s="578" t="s">
        <v>89</v>
      </c>
      <c r="D12" s="579">
        <v>244.56800000000001</v>
      </c>
      <c r="E12" s="439">
        <f>'Gia VT'!D348</f>
        <v>1472.222</v>
      </c>
      <c r="F12" s="439"/>
      <c r="G12" s="438"/>
      <c r="H12" s="565"/>
      <c r="I12" s="439">
        <f t="shared" ref="I12:I19" si="0">D12*E12</f>
        <v>360058.39009599999</v>
      </c>
      <c r="J12" s="439">
        <f t="shared" ref="J12:J19" si="1">D12*F12</f>
        <v>0</v>
      </c>
      <c r="K12" s="580">
        <f t="shared" ref="K12:K19" si="2">G12*D12</f>
        <v>0</v>
      </c>
      <c r="L12" s="581">
        <f t="shared" ref="L12:L19" si="3">+H12*D12</f>
        <v>0</v>
      </c>
      <c r="N12" s="551" t="s">
        <v>1034</v>
      </c>
      <c r="R12" s="567"/>
      <c r="W12" s="564" t="s">
        <v>652</v>
      </c>
      <c r="X12" s="564" t="s">
        <v>653</v>
      </c>
      <c r="Y12" s="564">
        <v>1.2849999999999999</v>
      </c>
      <c r="Z12" s="338">
        <v>214909</v>
      </c>
      <c r="AA12" s="338">
        <v>210360</v>
      </c>
      <c r="AB12" s="338">
        <v>202803</v>
      </c>
    </row>
    <row r="13" spans="1:28" ht="22.15" customHeight="1">
      <c r="A13" s="576"/>
      <c r="B13" s="577" t="s">
        <v>600</v>
      </c>
      <c r="C13" s="578" t="s">
        <v>91</v>
      </c>
      <c r="D13" s="579">
        <v>0.78</v>
      </c>
      <c r="E13" s="439">
        <f>'Gia VT'!D184</f>
        <v>386784</v>
      </c>
      <c r="F13" s="439"/>
      <c r="G13" s="438"/>
      <c r="H13" s="565"/>
      <c r="I13" s="439">
        <f t="shared" si="0"/>
        <v>301691.52000000002</v>
      </c>
      <c r="J13" s="439">
        <f t="shared" si="1"/>
        <v>0</v>
      </c>
      <c r="K13" s="580">
        <f t="shared" si="2"/>
        <v>0</v>
      </c>
      <c r="L13" s="581">
        <f t="shared" si="3"/>
        <v>0</v>
      </c>
      <c r="N13" s="338">
        <v>232470</v>
      </c>
      <c r="O13" s="551" t="s">
        <v>487</v>
      </c>
      <c r="R13" s="567"/>
      <c r="W13" s="564" t="s">
        <v>654</v>
      </c>
      <c r="X13" s="564" t="s">
        <v>655</v>
      </c>
      <c r="Y13" s="564">
        <v>1.39</v>
      </c>
      <c r="Z13" s="338">
        <v>232470</v>
      </c>
      <c r="AA13" s="338">
        <v>227549</v>
      </c>
      <c r="AB13" s="338">
        <v>219374</v>
      </c>
    </row>
    <row r="14" spans="1:28" ht="22.15" customHeight="1">
      <c r="A14" s="576"/>
      <c r="B14" s="577" t="s">
        <v>592</v>
      </c>
      <c r="C14" s="578" t="s">
        <v>91</v>
      </c>
      <c r="D14" s="579">
        <v>0.47399999999999998</v>
      </c>
      <c r="E14" s="439">
        <f>'Gia VT'!D140</f>
        <v>240000</v>
      </c>
      <c r="F14" s="439"/>
      <c r="G14" s="438"/>
      <c r="H14" s="565"/>
      <c r="I14" s="439">
        <f t="shared" si="0"/>
        <v>113760</v>
      </c>
      <c r="J14" s="439">
        <f t="shared" si="1"/>
        <v>0</v>
      </c>
      <c r="K14" s="580">
        <f t="shared" si="2"/>
        <v>0</v>
      </c>
      <c r="L14" s="581">
        <f t="shared" si="3"/>
        <v>0</v>
      </c>
      <c r="N14" s="338">
        <v>254212</v>
      </c>
      <c r="O14" s="551" t="s">
        <v>492</v>
      </c>
      <c r="Q14" s="567"/>
      <c r="W14" s="564" t="s">
        <v>656</v>
      </c>
      <c r="X14" s="564" t="s">
        <v>657</v>
      </c>
      <c r="Y14" s="564">
        <v>1.52</v>
      </c>
      <c r="Z14" s="338">
        <v>254212</v>
      </c>
      <c r="AA14" s="338">
        <v>248831</v>
      </c>
      <c r="AB14" s="338">
        <v>239891</v>
      </c>
    </row>
    <row r="15" spans="1:28" ht="22.15" customHeight="1">
      <c r="A15" s="576"/>
      <c r="B15" s="577" t="s">
        <v>593</v>
      </c>
      <c r="C15" s="578" t="s">
        <v>91</v>
      </c>
      <c r="D15" s="579">
        <v>0.06</v>
      </c>
      <c r="E15" s="439">
        <f>'Gia VT'!D203</f>
        <v>3078324</v>
      </c>
      <c r="F15" s="439"/>
      <c r="G15" s="438"/>
      <c r="H15" s="565"/>
      <c r="I15" s="439">
        <f t="shared" si="0"/>
        <v>184699.44</v>
      </c>
      <c r="J15" s="439">
        <f t="shared" si="1"/>
        <v>0</v>
      </c>
      <c r="K15" s="580">
        <f t="shared" si="2"/>
        <v>0</v>
      </c>
      <c r="L15" s="581">
        <f t="shared" si="3"/>
        <v>0</v>
      </c>
      <c r="N15" s="338">
        <v>260705</v>
      </c>
      <c r="O15" s="551" t="s">
        <v>488</v>
      </c>
      <c r="W15" s="564" t="s">
        <v>1045</v>
      </c>
      <c r="X15" s="564" t="s">
        <v>1033</v>
      </c>
      <c r="Y15" s="564">
        <v>1.65</v>
      </c>
      <c r="Z15" s="338">
        <v>275954</v>
      </c>
      <c r="AA15" s="338">
        <v>270113</v>
      </c>
      <c r="AB15" s="338">
        <v>260408</v>
      </c>
    </row>
    <row r="16" spans="1:28" ht="22.15" customHeight="1">
      <c r="A16" s="576"/>
      <c r="B16" s="577" t="s">
        <v>594</v>
      </c>
      <c r="C16" s="578" t="s">
        <v>91</v>
      </c>
      <c r="D16" s="579">
        <v>0.17299999999999999</v>
      </c>
      <c r="E16" s="439">
        <v>10000</v>
      </c>
      <c r="F16" s="439"/>
      <c r="G16" s="438"/>
      <c r="H16" s="565"/>
      <c r="I16" s="439">
        <f t="shared" si="0"/>
        <v>1729.9999999999998</v>
      </c>
      <c r="J16" s="439">
        <f t="shared" si="1"/>
        <v>0</v>
      </c>
      <c r="K16" s="580">
        <f t="shared" si="2"/>
        <v>0</v>
      </c>
      <c r="L16" s="581">
        <f t="shared" si="3"/>
        <v>0</v>
      </c>
      <c r="N16" s="582"/>
      <c r="O16" s="582"/>
      <c r="Q16" s="567"/>
      <c r="W16" s="564" t="s">
        <v>1046</v>
      </c>
      <c r="X16" s="564" t="s">
        <v>1047</v>
      </c>
      <c r="Y16" s="564">
        <v>1.7949999999999999</v>
      </c>
      <c r="Z16" s="338">
        <v>300204</v>
      </c>
      <c r="AA16" s="338">
        <v>293850</v>
      </c>
      <c r="AB16" s="338">
        <v>283292</v>
      </c>
    </row>
    <row r="17" spans="1:28" ht="22.15" customHeight="1">
      <c r="A17" s="576" t="s">
        <v>595</v>
      </c>
      <c r="B17" s="577" t="s">
        <v>596</v>
      </c>
      <c r="C17" s="578" t="s">
        <v>91</v>
      </c>
      <c r="D17" s="579">
        <v>1.1599999999999999</v>
      </c>
      <c r="E17" s="439"/>
      <c r="F17" s="439"/>
      <c r="G17" s="439">
        <f>N17*N13</f>
        <v>241768.80000000002</v>
      </c>
      <c r="H17" s="439"/>
      <c r="I17" s="439">
        <f t="shared" si="0"/>
        <v>0</v>
      </c>
      <c r="J17" s="439">
        <f t="shared" si="1"/>
        <v>0</v>
      </c>
      <c r="K17" s="580">
        <f t="shared" si="2"/>
        <v>280451.80800000002</v>
      </c>
      <c r="L17" s="581">
        <f t="shared" si="3"/>
        <v>0</v>
      </c>
      <c r="N17" s="551">
        <v>1.04</v>
      </c>
      <c r="O17" s="551">
        <v>8.8999999999999996E-2</v>
      </c>
      <c r="P17" s="551" t="s">
        <v>602</v>
      </c>
      <c r="R17" s="551">
        <v>306539</v>
      </c>
      <c r="S17" s="551">
        <f>R17*O17</f>
        <v>27281.970999999998</v>
      </c>
      <c r="W17" s="564" t="s">
        <v>658</v>
      </c>
      <c r="X17" s="564" t="s">
        <v>1048</v>
      </c>
      <c r="Y17" s="564">
        <v>1.94</v>
      </c>
      <c r="Z17" s="338">
        <v>324455</v>
      </c>
      <c r="AA17" s="338">
        <v>317587</v>
      </c>
      <c r="AB17" s="338">
        <v>306177</v>
      </c>
    </row>
    <row r="18" spans="1:28" ht="22.15" customHeight="1">
      <c r="A18" s="576" t="s">
        <v>597</v>
      </c>
      <c r="B18" s="577" t="s">
        <v>601</v>
      </c>
      <c r="C18" s="578" t="s">
        <v>91</v>
      </c>
      <c r="D18" s="579">
        <v>9.5000000000000001E-2</v>
      </c>
      <c r="E18" s="439"/>
      <c r="F18" s="439"/>
      <c r="G18" s="439">
        <f>N18*N13</f>
        <v>130183.20000000001</v>
      </c>
      <c r="H18" s="439"/>
      <c r="I18" s="439">
        <f t="shared" si="0"/>
        <v>0</v>
      </c>
      <c r="J18" s="439">
        <f t="shared" si="1"/>
        <v>0</v>
      </c>
      <c r="K18" s="580">
        <f t="shared" si="2"/>
        <v>12367.404</v>
      </c>
      <c r="L18" s="581">
        <f t="shared" si="3"/>
        <v>0</v>
      </c>
      <c r="N18" s="551">
        <v>0.56000000000000005</v>
      </c>
      <c r="O18" s="551">
        <v>9.5000000000000001E-2</v>
      </c>
      <c r="P18" s="551" t="s">
        <v>603</v>
      </c>
      <c r="R18" s="551">
        <v>351080</v>
      </c>
      <c r="S18" s="551">
        <f>R18*O18</f>
        <v>33352.6</v>
      </c>
      <c r="W18" s="564" t="s">
        <v>659</v>
      </c>
      <c r="X18" s="564" t="s">
        <v>660</v>
      </c>
      <c r="Y18" s="564">
        <v>2.12</v>
      </c>
      <c r="Z18" s="338">
        <v>354559</v>
      </c>
      <c r="AA18" s="338">
        <v>347054</v>
      </c>
      <c r="AB18" s="338">
        <v>334585</v>
      </c>
    </row>
    <row r="19" spans="1:28" ht="22.15" customHeight="1">
      <c r="A19" s="576" t="s">
        <v>235</v>
      </c>
      <c r="B19" s="577" t="s">
        <v>598</v>
      </c>
      <c r="C19" s="578" t="s">
        <v>91</v>
      </c>
      <c r="D19" s="579">
        <v>0.88700000000000001</v>
      </c>
      <c r="E19" s="439"/>
      <c r="F19" s="439"/>
      <c r="G19" s="439">
        <f>N19*N15</f>
        <v>320667.15000000002</v>
      </c>
      <c r="H19" s="439">
        <f>S19</f>
        <v>60634.570999999996</v>
      </c>
      <c r="I19" s="439">
        <f t="shared" si="0"/>
        <v>0</v>
      </c>
      <c r="J19" s="439">
        <f t="shared" si="1"/>
        <v>0</v>
      </c>
      <c r="K19" s="580">
        <f t="shared" si="2"/>
        <v>284431.76205000002</v>
      </c>
      <c r="L19" s="581">
        <f t="shared" si="3"/>
        <v>53782.864476999996</v>
      </c>
      <c r="N19" s="551">
        <v>1.23</v>
      </c>
      <c r="S19" s="583">
        <f>SUM(S17:S18)</f>
        <v>60634.570999999996</v>
      </c>
      <c r="W19" s="564" t="s">
        <v>661</v>
      </c>
      <c r="X19" s="564" t="s">
        <v>662</v>
      </c>
      <c r="Y19" s="564">
        <v>2.2999999999999998</v>
      </c>
      <c r="Z19" s="338">
        <v>384663</v>
      </c>
      <c r="AA19" s="338">
        <v>376521</v>
      </c>
      <c r="AB19" s="338">
        <v>362993</v>
      </c>
    </row>
    <row r="20" spans="1:28" ht="22.15" customHeight="1">
      <c r="A20" s="570" t="s">
        <v>590</v>
      </c>
      <c r="B20" s="571" t="s">
        <v>816</v>
      </c>
      <c r="C20" s="572" t="s">
        <v>591</v>
      </c>
      <c r="D20" s="573">
        <v>1</v>
      </c>
      <c r="E20" s="565"/>
      <c r="F20" s="565"/>
      <c r="G20" s="438"/>
      <c r="H20" s="565"/>
      <c r="I20" s="574">
        <f>SUM(I21:I28)</f>
        <v>1478643.0029239999</v>
      </c>
      <c r="J20" s="574">
        <f>SUM(J21:J28)</f>
        <v>0</v>
      </c>
      <c r="K20" s="574">
        <f>SUM(K21:K28)</f>
        <v>873344.76585000008</v>
      </c>
      <c r="L20" s="575">
        <f>SUM(L21:L28)</f>
        <v>85070.303113000002</v>
      </c>
      <c r="R20" s="567"/>
      <c r="W20" s="564" t="s">
        <v>1049</v>
      </c>
      <c r="X20" s="564" t="s">
        <v>1050</v>
      </c>
      <c r="Y20" s="564">
        <v>2.5049999999999999</v>
      </c>
      <c r="Z20" s="338">
        <v>418948</v>
      </c>
      <c r="AA20" s="338">
        <v>410080</v>
      </c>
      <c r="AB20" s="338">
        <v>395347</v>
      </c>
    </row>
    <row r="21" spans="1:28" ht="22.15" customHeight="1">
      <c r="A21" s="576"/>
      <c r="B21" s="577" t="s">
        <v>599</v>
      </c>
      <c r="C21" s="578" t="s">
        <v>89</v>
      </c>
      <c r="D21" s="579">
        <v>386.84199999999998</v>
      </c>
      <c r="E21" s="439">
        <f>E12</f>
        <v>1472.222</v>
      </c>
      <c r="F21" s="439"/>
      <c r="G21" s="438"/>
      <c r="H21" s="565"/>
      <c r="I21" s="439">
        <f t="shared" ref="I21:I28" si="4">D21*E21</f>
        <v>569517.30292399996</v>
      </c>
      <c r="J21" s="439">
        <f t="shared" ref="J21:J28" si="5">D21*F21</f>
        <v>0</v>
      </c>
      <c r="K21" s="580">
        <f t="shared" ref="K21:K28" si="6">G21*D21</f>
        <v>0</v>
      </c>
      <c r="L21" s="581">
        <f t="shared" ref="L21:L28" si="7">+H21*D21</f>
        <v>0</v>
      </c>
      <c r="R21" s="567"/>
      <c r="W21" s="564" t="s">
        <v>1051</v>
      </c>
      <c r="X21" s="564" t="s">
        <v>1052</v>
      </c>
      <c r="Y21" s="564">
        <v>2.71</v>
      </c>
      <c r="Z21" s="338">
        <v>453233</v>
      </c>
      <c r="AA21" s="338">
        <v>443639</v>
      </c>
      <c r="AB21" s="338">
        <v>427700</v>
      </c>
    </row>
    <row r="22" spans="1:28" ht="22.15" customHeight="1">
      <c r="A22" s="576"/>
      <c r="B22" s="577" t="s">
        <v>600</v>
      </c>
      <c r="C22" s="578" t="s">
        <v>91</v>
      </c>
      <c r="D22" s="579">
        <v>1.234</v>
      </c>
      <c r="E22" s="439">
        <f>E13</f>
        <v>386784</v>
      </c>
      <c r="F22" s="439"/>
      <c r="G22" s="438"/>
      <c r="H22" s="565"/>
      <c r="I22" s="439">
        <f t="shared" si="4"/>
        <v>477291.45600000001</v>
      </c>
      <c r="J22" s="439">
        <f t="shared" si="5"/>
        <v>0</v>
      </c>
      <c r="K22" s="580">
        <f t="shared" si="6"/>
        <v>0</v>
      </c>
      <c r="L22" s="581">
        <f t="shared" si="7"/>
        <v>0</v>
      </c>
      <c r="R22" s="567"/>
    </row>
    <row r="23" spans="1:28" ht="22.15" customHeight="1">
      <c r="A23" s="576"/>
      <c r="B23" s="577" t="s">
        <v>592</v>
      </c>
      <c r="C23" s="578" t="s">
        <v>91</v>
      </c>
      <c r="D23" s="579">
        <v>0.749</v>
      </c>
      <c r="E23" s="439">
        <f>E14</f>
        <v>240000</v>
      </c>
      <c r="F23" s="439"/>
      <c r="G23" s="438"/>
      <c r="H23" s="565"/>
      <c r="I23" s="439">
        <f t="shared" si="4"/>
        <v>179760</v>
      </c>
      <c r="J23" s="439">
        <f t="shared" si="5"/>
        <v>0</v>
      </c>
      <c r="K23" s="580">
        <f t="shared" si="6"/>
        <v>0</v>
      </c>
      <c r="L23" s="581">
        <f t="shared" si="7"/>
        <v>0</v>
      </c>
      <c r="Q23" s="567"/>
    </row>
    <row r="24" spans="1:28" ht="22.15" customHeight="1">
      <c r="A24" s="576"/>
      <c r="B24" s="577" t="s">
        <v>593</v>
      </c>
      <c r="C24" s="578" t="s">
        <v>91</v>
      </c>
      <c r="D24" s="579">
        <v>8.1000000000000003E-2</v>
      </c>
      <c r="E24" s="439">
        <f>E15</f>
        <v>3078324</v>
      </c>
      <c r="F24" s="439"/>
      <c r="G24" s="438"/>
      <c r="H24" s="565"/>
      <c r="I24" s="439">
        <f t="shared" si="4"/>
        <v>249344.24400000001</v>
      </c>
      <c r="J24" s="439">
        <f t="shared" si="5"/>
        <v>0</v>
      </c>
      <c r="K24" s="580">
        <f t="shared" si="6"/>
        <v>0</v>
      </c>
      <c r="L24" s="581">
        <f t="shared" si="7"/>
        <v>0</v>
      </c>
    </row>
    <row r="25" spans="1:28" ht="22.15" customHeight="1">
      <c r="A25" s="576"/>
      <c r="B25" s="577" t="s">
        <v>594</v>
      </c>
      <c r="C25" s="578" t="s">
        <v>91</v>
      </c>
      <c r="D25" s="579">
        <v>0.27300000000000002</v>
      </c>
      <c r="E25" s="439">
        <f>E16</f>
        <v>10000</v>
      </c>
      <c r="F25" s="439"/>
      <c r="G25" s="438"/>
      <c r="H25" s="565"/>
      <c r="I25" s="439">
        <f t="shared" si="4"/>
        <v>2730</v>
      </c>
      <c r="J25" s="439">
        <f t="shared" si="5"/>
        <v>0</v>
      </c>
      <c r="K25" s="580">
        <f t="shared" si="6"/>
        <v>0</v>
      </c>
      <c r="L25" s="581">
        <f t="shared" si="7"/>
        <v>0</v>
      </c>
      <c r="N25" s="582"/>
      <c r="O25" s="582"/>
      <c r="Q25" s="567"/>
    </row>
    <row r="26" spans="1:28" ht="22.15" customHeight="1">
      <c r="A26" s="576" t="s">
        <v>595</v>
      </c>
      <c r="B26" s="577" t="s">
        <v>596</v>
      </c>
      <c r="C26" s="578" t="s">
        <v>91</v>
      </c>
      <c r="D26" s="579">
        <v>1.71</v>
      </c>
      <c r="E26" s="439"/>
      <c r="F26" s="439"/>
      <c r="G26" s="439">
        <f>G17</f>
        <v>241768.80000000002</v>
      </c>
      <c r="H26" s="439"/>
      <c r="I26" s="439">
        <f t="shared" si="4"/>
        <v>0</v>
      </c>
      <c r="J26" s="439">
        <f t="shared" si="5"/>
        <v>0</v>
      </c>
      <c r="K26" s="580">
        <f t="shared" si="6"/>
        <v>413424.64800000004</v>
      </c>
      <c r="L26" s="581">
        <f t="shared" si="7"/>
        <v>0</v>
      </c>
    </row>
    <row r="27" spans="1:28" ht="22.15" customHeight="1">
      <c r="A27" s="576" t="s">
        <v>597</v>
      </c>
      <c r="B27" s="577" t="s">
        <v>601</v>
      </c>
      <c r="C27" s="578" t="s">
        <v>91</v>
      </c>
      <c r="D27" s="579">
        <v>7.6999999999999999E-2</v>
      </c>
      <c r="E27" s="439"/>
      <c r="F27" s="439"/>
      <c r="G27" s="439">
        <f>G18</f>
        <v>130183.20000000001</v>
      </c>
      <c r="H27" s="439"/>
      <c r="I27" s="439">
        <f t="shared" si="4"/>
        <v>0</v>
      </c>
      <c r="J27" s="439">
        <f t="shared" si="5"/>
        <v>0</v>
      </c>
      <c r="K27" s="580">
        <f t="shared" si="6"/>
        <v>10024.106400000001</v>
      </c>
      <c r="L27" s="581">
        <f t="shared" si="7"/>
        <v>0</v>
      </c>
    </row>
    <row r="28" spans="1:28" ht="22.15" customHeight="1">
      <c r="A28" s="576" t="s">
        <v>235</v>
      </c>
      <c r="B28" s="577" t="s">
        <v>598</v>
      </c>
      <c r="C28" s="578" t="s">
        <v>91</v>
      </c>
      <c r="D28" s="579">
        <v>1.403</v>
      </c>
      <c r="E28" s="439"/>
      <c r="F28" s="439"/>
      <c r="G28" s="439">
        <f>G19</f>
        <v>320667.15000000002</v>
      </c>
      <c r="H28" s="439">
        <f>H19</f>
        <v>60634.570999999996</v>
      </c>
      <c r="I28" s="439">
        <f t="shared" si="4"/>
        <v>0</v>
      </c>
      <c r="J28" s="439">
        <f t="shared" si="5"/>
        <v>0</v>
      </c>
      <c r="K28" s="580">
        <f t="shared" si="6"/>
        <v>449896.01145000005</v>
      </c>
      <c r="L28" s="581">
        <f t="shared" si="7"/>
        <v>85070.303113000002</v>
      </c>
      <c r="S28" s="583"/>
    </row>
    <row r="29" spans="1:28" ht="22.15" customHeight="1">
      <c r="A29" s="570" t="s">
        <v>41</v>
      </c>
      <c r="B29" s="584" t="s">
        <v>674</v>
      </c>
      <c r="C29" s="578"/>
      <c r="D29" s="579"/>
      <c r="E29" s="439"/>
      <c r="F29" s="439"/>
      <c r="G29" s="439"/>
      <c r="H29" s="439"/>
      <c r="I29" s="439"/>
      <c r="J29" s="439"/>
      <c r="K29" s="580"/>
      <c r="L29" s="581"/>
      <c r="S29" s="583"/>
    </row>
    <row r="30" spans="1:28" s="583" customFormat="1" ht="22.15" customHeight="1">
      <c r="A30" s="570" t="s">
        <v>253</v>
      </c>
      <c r="B30" s="584" t="s">
        <v>668</v>
      </c>
      <c r="C30" s="585" t="s">
        <v>51</v>
      </c>
      <c r="D30" s="573">
        <v>1</v>
      </c>
      <c r="E30" s="440"/>
      <c r="F30" s="440"/>
      <c r="G30" s="440"/>
      <c r="H30" s="440"/>
      <c r="I30" s="440">
        <f>SUM(I31:I39)</f>
        <v>0</v>
      </c>
      <c r="J30" s="440">
        <f>SUM(J31:J39)</f>
        <v>955963.2</v>
      </c>
      <c r="K30" s="440">
        <f>SUM(K31:K39)</f>
        <v>203590.13800000001</v>
      </c>
      <c r="L30" s="575">
        <f>SUM(L31:L39)</f>
        <v>2005.4749999999999</v>
      </c>
    </row>
    <row r="31" spans="1:28" ht="44.25" customHeight="1">
      <c r="A31" s="576"/>
      <c r="B31" s="577" t="s">
        <v>663</v>
      </c>
      <c r="C31" s="578" t="s">
        <v>622</v>
      </c>
      <c r="D31" s="586">
        <v>1</v>
      </c>
      <c r="E31" s="439"/>
      <c r="F31" s="439">
        <f>'Gia VT'!D99</f>
        <v>371300</v>
      </c>
      <c r="G31" s="439"/>
      <c r="H31" s="439"/>
      <c r="I31" s="439">
        <f>D31*E31</f>
        <v>0</v>
      </c>
      <c r="J31" s="439">
        <f>D31*F31</f>
        <v>371300</v>
      </c>
      <c r="K31" s="580">
        <f t="shared" ref="K31:K39" si="8">G31*D31</f>
        <v>0</v>
      </c>
      <c r="L31" s="581">
        <f>+H31*D31</f>
        <v>0</v>
      </c>
      <c r="S31" s="583"/>
    </row>
    <row r="32" spans="1:28" ht="22.15" customHeight="1">
      <c r="A32" s="576"/>
      <c r="B32" s="577" t="s">
        <v>676</v>
      </c>
      <c r="C32" s="578" t="s">
        <v>89</v>
      </c>
      <c r="D32" s="586">
        <f>6*0.224</f>
        <v>1.3440000000000001</v>
      </c>
      <c r="E32" s="439"/>
      <c r="F32" s="439">
        <f>'Gia VT'!D16</f>
        <v>365300</v>
      </c>
      <c r="G32" s="439"/>
      <c r="H32" s="439"/>
      <c r="I32" s="439">
        <f>D32*E32</f>
        <v>0</v>
      </c>
      <c r="J32" s="439">
        <f>D32*F32</f>
        <v>490963.20000000001</v>
      </c>
      <c r="K32" s="580">
        <f t="shared" si="8"/>
        <v>0</v>
      </c>
      <c r="L32" s="581">
        <f>+H32*D32</f>
        <v>0</v>
      </c>
      <c r="S32" s="583"/>
    </row>
    <row r="33" spans="1:19" ht="22.15" customHeight="1">
      <c r="A33" s="576"/>
      <c r="B33" s="577" t="s">
        <v>667</v>
      </c>
      <c r="C33" s="578" t="s">
        <v>86</v>
      </c>
      <c r="D33" s="586">
        <v>2</v>
      </c>
      <c r="E33" s="439"/>
      <c r="F33" s="439">
        <f>'Gia VT'!D244</f>
        <v>24000</v>
      </c>
      <c r="G33" s="439"/>
      <c r="H33" s="439"/>
      <c r="I33" s="439">
        <f>D33*E33</f>
        <v>0</v>
      </c>
      <c r="J33" s="439">
        <f>D33*F33</f>
        <v>48000</v>
      </c>
      <c r="K33" s="580">
        <f t="shared" si="8"/>
        <v>0</v>
      </c>
      <c r="L33" s="581">
        <f>+H33*D33</f>
        <v>0</v>
      </c>
      <c r="S33" s="583"/>
    </row>
    <row r="34" spans="1:19" ht="22.15" customHeight="1">
      <c r="A34" s="576"/>
      <c r="B34" s="587" t="s">
        <v>664</v>
      </c>
      <c r="C34" s="612" t="s">
        <v>86</v>
      </c>
      <c r="D34" s="588">
        <v>1</v>
      </c>
      <c r="E34" s="565"/>
      <c r="F34" s="439">
        <f>'Gia VT'!D156</f>
        <v>20500</v>
      </c>
      <c r="G34" s="438"/>
      <c r="H34" s="565"/>
      <c r="I34" s="439">
        <f>E34*D34</f>
        <v>0</v>
      </c>
      <c r="J34" s="439">
        <f>F34*D34</f>
        <v>20500</v>
      </c>
      <c r="K34" s="439">
        <f t="shared" si="8"/>
        <v>0</v>
      </c>
      <c r="L34" s="589">
        <f>H34*D34</f>
        <v>0</v>
      </c>
    </row>
    <row r="35" spans="1:19" ht="22.15" customHeight="1">
      <c r="A35" s="576"/>
      <c r="B35" s="587" t="s">
        <v>665</v>
      </c>
      <c r="C35" s="612" t="s">
        <v>86</v>
      </c>
      <c r="D35" s="588">
        <v>1</v>
      </c>
      <c r="E35" s="565"/>
      <c r="F35" s="439">
        <f>'Gia VT'!D102</f>
        <v>3000</v>
      </c>
      <c r="G35" s="438"/>
      <c r="H35" s="565"/>
      <c r="I35" s="439">
        <f>E35*D35</f>
        <v>0</v>
      </c>
      <c r="J35" s="439">
        <f>F35*D35</f>
        <v>3000</v>
      </c>
      <c r="K35" s="439">
        <f t="shared" si="8"/>
        <v>0</v>
      </c>
      <c r="L35" s="589">
        <f>H35*D35</f>
        <v>0</v>
      </c>
    </row>
    <row r="36" spans="1:19" ht="22.15" customHeight="1">
      <c r="A36" s="576"/>
      <c r="B36" s="587" t="s">
        <v>666</v>
      </c>
      <c r="C36" s="612" t="s">
        <v>86</v>
      </c>
      <c r="D36" s="588">
        <v>1</v>
      </c>
      <c r="E36" s="565"/>
      <c r="F36" s="439">
        <f>'Gia VT'!D257</f>
        <v>3000</v>
      </c>
      <c r="G36" s="438"/>
      <c r="H36" s="565"/>
      <c r="I36" s="439">
        <f>E36*D36</f>
        <v>0</v>
      </c>
      <c r="J36" s="439">
        <f>F36*D36</f>
        <v>3000</v>
      </c>
      <c r="K36" s="439">
        <f t="shared" si="8"/>
        <v>0</v>
      </c>
      <c r="L36" s="589">
        <f>H36*D36</f>
        <v>0</v>
      </c>
    </row>
    <row r="37" spans="1:19" ht="30">
      <c r="A37" s="576"/>
      <c r="B37" s="587" t="s">
        <v>555</v>
      </c>
      <c r="C37" s="612" t="s">
        <v>86</v>
      </c>
      <c r="D37" s="588">
        <v>3</v>
      </c>
      <c r="E37" s="565"/>
      <c r="F37" s="439">
        <f>'Gia VT'!D181+'Gia VT'!D248</f>
        <v>6400</v>
      </c>
      <c r="G37" s="438"/>
      <c r="H37" s="565"/>
      <c r="I37" s="439">
        <f>E37*D37</f>
        <v>0</v>
      </c>
      <c r="J37" s="439">
        <f>F37*D37</f>
        <v>19200</v>
      </c>
      <c r="K37" s="439">
        <f t="shared" si="8"/>
        <v>0</v>
      </c>
      <c r="L37" s="589">
        <f>H37*D37</f>
        <v>0</v>
      </c>
    </row>
    <row r="38" spans="1:19" ht="22.15" customHeight="1">
      <c r="A38" s="576" t="s">
        <v>670</v>
      </c>
      <c r="B38" s="577" t="s">
        <v>623</v>
      </c>
      <c r="C38" s="578" t="s">
        <v>87</v>
      </c>
      <c r="D38" s="586">
        <v>1</v>
      </c>
      <c r="E38" s="439"/>
      <c r="F38" s="439"/>
      <c r="G38" s="439">
        <f>R2*0.74*0.55</f>
        <v>139730.42600000001</v>
      </c>
      <c r="H38" s="439"/>
      <c r="I38" s="439">
        <f>D38*E38</f>
        <v>0</v>
      </c>
      <c r="J38" s="439">
        <f>D38*F38</f>
        <v>0</v>
      </c>
      <c r="K38" s="580">
        <f t="shared" si="8"/>
        <v>139730.42600000001</v>
      </c>
      <c r="L38" s="581">
        <f>+H38*D38</f>
        <v>0</v>
      </c>
      <c r="S38" s="583"/>
    </row>
    <row r="39" spans="1:19" ht="22.15" customHeight="1">
      <c r="A39" s="576" t="s">
        <v>194</v>
      </c>
      <c r="B39" s="577" t="s">
        <v>238</v>
      </c>
      <c r="C39" s="578" t="s">
        <v>168</v>
      </c>
      <c r="D39" s="586">
        <v>1</v>
      </c>
      <c r="E39" s="439"/>
      <c r="F39" s="439"/>
      <c r="G39" s="439">
        <f>2.8*N39/10*0.8</f>
        <v>63859.711999999992</v>
      </c>
      <c r="H39" s="439">
        <f>0.05*P40/10</f>
        <v>2005.4749999999999</v>
      </c>
      <c r="I39" s="439">
        <f>D39*E39</f>
        <v>0</v>
      </c>
      <c r="J39" s="439">
        <f>D39*F39</f>
        <v>0</v>
      </c>
      <c r="K39" s="580">
        <f t="shared" si="8"/>
        <v>63859.711999999992</v>
      </c>
      <c r="L39" s="581">
        <f>+H39*D39</f>
        <v>2005.4749999999999</v>
      </c>
      <c r="M39" s="551" t="s">
        <v>1053</v>
      </c>
      <c r="N39" s="439">
        <v>285088</v>
      </c>
      <c r="P39" s="551" t="s">
        <v>239</v>
      </c>
      <c r="S39" s="583"/>
    </row>
    <row r="40" spans="1:19" ht="22.15" customHeight="1">
      <c r="A40" s="568" t="s">
        <v>45</v>
      </c>
      <c r="B40" s="569" t="s">
        <v>604</v>
      </c>
      <c r="C40" s="612"/>
      <c r="D40" s="612" t="s">
        <v>87</v>
      </c>
      <c r="E40" s="565"/>
      <c r="F40" s="565"/>
      <c r="G40" s="439"/>
      <c r="H40" s="439"/>
      <c r="I40" s="565"/>
      <c r="J40" s="565"/>
      <c r="K40" s="565"/>
      <c r="L40" s="566"/>
      <c r="P40" s="583">
        <v>401095</v>
      </c>
    </row>
    <row r="41" spans="1:19" ht="22.15" customHeight="1">
      <c r="A41" s="568">
        <v>1</v>
      </c>
      <c r="B41" s="569" t="s">
        <v>1138</v>
      </c>
      <c r="C41" s="612" t="s">
        <v>605</v>
      </c>
      <c r="D41" s="590">
        <v>1</v>
      </c>
      <c r="E41" s="565"/>
      <c r="F41" s="439"/>
      <c r="G41" s="438"/>
      <c r="H41" s="565"/>
      <c r="I41" s="574">
        <f>SUM(I42:I45)</f>
        <v>0</v>
      </c>
      <c r="J41" s="574">
        <f>SUM(J42:J45)</f>
        <v>4995401.4720000001</v>
      </c>
      <c r="K41" s="574">
        <f>SUM(K42:K45)</f>
        <v>591021.93699999992</v>
      </c>
      <c r="L41" s="575">
        <f>SUM(L42:L45)</f>
        <v>220284.99900000001</v>
      </c>
    </row>
    <row r="42" spans="1:19" ht="22.15" customHeight="1">
      <c r="A42" s="591"/>
      <c r="B42" s="592" t="s">
        <v>1139</v>
      </c>
      <c r="C42" s="612" t="s">
        <v>90</v>
      </c>
      <c r="D42" s="612">
        <v>1</v>
      </c>
      <c r="E42" s="565"/>
      <c r="F42" s="640">
        <f>'Gia VT'!D39</f>
        <v>4955000</v>
      </c>
      <c r="G42" s="438"/>
      <c r="H42" s="565"/>
      <c r="I42" s="439">
        <f>D42*E42</f>
        <v>0</v>
      </c>
      <c r="J42" s="439">
        <f>D42*F42</f>
        <v>4955000</v>
      </c>
      <c r="K42" s="580">
        <f>G42*D42</f>
        <v>0</v>
      </c>
      <c r="L42" s="581">
        <f>+H42*D42</f>
        <v>0</v>
      </c>
    </row>
    <row r="43" spans="1:19" ht="22.15" customHeight="1">
      <c r="A43" s="591"/>
      <c r="B43" s="593" t="s">
        <v>606</v>
      </c>
      <c r="C43" s="578" t="s">
        <v>89</v>
      </c>
      <c r="D43" s="594">
        <v>5.9039999999999995E-3</v>
      </c>
      <c r="E43" s="439"/>
      <c r="F43" s="439">
        <f>'Gia VT'!D322</f>
        <v>68000</v>
      </c>
      <c r="G43" s="438"/>
      <c r="H43" s="565"/>
      <c r="I43" s="439">
        <f>D43*E43</f>
        <v>0</v>
      </c>
      <c r="J43" s="439">
        <f>D43*F43</f>
        <v>401.47199999999998</v>
      </c>
      <c r="K43" s="580">
        <f>G43*D43</f>
        <v>0</v>
      </c>
      <c r="L43" s="581">
        <f>+H43*D43</f>
        <v>0</v>
      </c>
    </row>
    <row r="44" spans="1:19" ht="22.15" customHeight="1">
      <c r="A44" s="591"/>
      <c r="B44" s="577" t="s">
        <v>607</v>
      </c>
      <c r="C44" s="578" t="s">
        <v>87</v>
      </c>
      <c r="D44" s="595">
        <v>1</v>
      </c>
      <c r="E44" s="439"/>
      <c r="F44" s="439">
        <f>'Gia VT'!D93</f>
        <v>40000</v>
      </c>
      <c r="G44" s="438"/>
      <c r="H44" s="565"/>
      <c r="I44" s="439">
        <f>D44*E44</f>
        <v>0</v>
      </c>
      <c r="J44" s="439">
        <f>D44*F44</f>
        <v>40000</v>
      </c>
      <c r="K44" s="580">
        <f>G44*D44</f>
        <v>0</v>
      </c>
      <c r="L44" s="581">
        <f>+H44*D44</f>
        <v>0</v>
      </c>
    </row>
    <row r="45" spans="1:19" ht="22.15" customHeight="1">
      <c r="A45" s="596" t="s">
        <v>117</v>
      </c>
      <c r="B45" s="592" t="s">
        <v>608</v>
      </c>
      <c r="C45" s="612" t="s">
        <v>90</v>
      </c>
      <c r="D45" s="612">
        <v>1</v>
      </c>
      <c r="E45" s="565"/>
      <c r="F45" s="439"/>
      <c r="G45" s="439">
        <f>3.13*R2*0.55</f>
        <v>591021.93699999992</v>
      </c>
      <c r="H45" s="439">
        <f>0.18*N45*0.55</f>
        <v>220284.99900000001</v>
      </c>
      <c r="I45" s="439">
        <f>D45*E45</f>
        <v>0</v>
      </c>
      <c r="J45" s="439">
        <f>D45*F45</f>
        <v>0</v>
      </c>
      <c r="K45" s="580">
        <f>G45*D45</f>
        <v>591021.93699999992</v>
      </c>
      <c r="L45" s="581">
        <f>+H45*D45</f>
        <v>220284.99900000001</v>
      </c>
      <c r="M45" s="551" t="s">
        <v>241</v>
      </c>
      <c r="N45" s="439">
        <v>2225101</v>
      </c>
    </row>
    <row r="46" spans="1:19" ht="22.15" customHeight="1">
      <c r="A46" s="568">
        <v>2</v>
      </c>
      <c r="B46" s="569" t="s">
        <v>1140</v>
      </c>
      <c r="C46" s="612" t="s">
        <v>605</v>
      </c>
      <c r="D46" s="590">
        <v>1</v>
      </c>
      <c r="E46" s="565"/>
      <c r="F46" s="439"/>
      <c r="G46" s="438"/>
      <c r="H46" s="565"/>
      <c r="I46" s="574">
        <f>SUM(I47:I50)</f>
        <v>0</v>
      </c>
      <c r="J46" s="574">
        <f>SUM(J47:J50)</f>
        <v>7295401.4720000001</v>
      </c>
      <c r="K46" s="574">
        <f>SUM(K47:K50)</f>
        <v>736417.11</v>
      </c>
      <c r="L46" s="575">
        <f>SUM(L47:L50)</f>
        <v>220284.99900000001</v>
      </c>
    </row>
    <row r="47" spans="1:19" ht="22.15" customHeight="1">
      <c r="A47" s="591"/>
      <c r="B47" s="592" t="s">
        <v>1141</v>
      </c>
      <c r="C47" s="612" t="s">
        <v>90</v>
      </c>
      <c r="D47" s="612">
        <v>1</v>
      </c>
      <c r="E47" s="565"/>
      <c r="F47" s="640">
        <f>'Gia VT'!D41</f>
        <v>7255000</v>
      </c>
      <c r="G47" s="438"/>
      <c r="H47" s="565"/>
      <c r="I47" s="439">
        <f>D47*E47</f>
        <v>0</v>
      </c>
      <c r="J47" s="439">
        <f>D47*F47</f>
        <v>7255000</v>
      </c>
      <c r="K47" s="580">
        <f>G47*D47</f>
        <v>0</v>
      </c>
      <c r="L47" s="581">
        <f>+H47*D47</f>
        <v>0</v>
      </c>
    </row>
    <row r="48" spans="1:19" ht="22.15" customHeight="1">
      <c r="A48" s="591"/>
      <c r="B48" s="593" t="s">
        <v>606</v>
      </c>
      <c r="C48" s="578" t="s">
        <v>89</v>
      </c>
      <c r="D48" s="594">
        <v>5.9039999999999995E-3</v>
      </c>
      <c r="E48" s="439"/>
      <c r="F48" s="439">
        <f>F43</f>
        <v>68000</v>
      </c>
      <c r="G48" s="438"/>
      <c r="H48" s="565"/>
      <c r="I48" s="439">
        <f>D48*E48</f>
        <v>0</v>
      </c>
      <c r="J48" s="439">
        <f>D48*F48</f>
        <v>401.47199999999998</v>
      </c>
      <c r="K48" s="580">
        <f>G48*D48</f>
        <v>0</v>
      </c>
      <c r="L48" s="581">
        <f>+H48*D48</f>
        <v>0</v>
      </c>
    </row>
    <row r="49" spans="1:14" ht="22.15" customHeight="1">
      <c r="A49" s="591"/>
      <c r="B49" s="577" t="s">
        <v>607</v>
      </c>
      <c r="C49" s="578" t="s">
        <v>87</v>
      </c>
      <c r="D49" s="595">
        <v>1</v>
      </c>
      <c r="E49" s="439"/>
      <c r="F49" s="439">
        <f>F44</f>
        <v>40000</v>
      </c>
      <c r="G49" s="438"/>
      <c r="H49" s="565"/>
      <c r="I49" s="439">
        <f>D49*E49</f>
        <v>0</v>
      </c>
      <c r="J49" s="439">
        <f>D49*F49</f>
        <v>40000</v>
      </c>
      <c r="K49" s="580">
        <f>G49*D49</f>
        <v>0</v>
      </c>
      <c r="L49" s="581">
        <f>+H49*D49</f>
        <v>0</v>
      </c>
    </row>
    <row r="50" spans="1:14" ht="22.15" customHeight="1">
      <c r="A50" s="596" t="s">
        <v>274</v>
      </c>
      <c r="B50" s="592" t="s">
        <v>951</v>
      </c>
      <c r="C50" s="612" t="s">
        <v>90</v>
      </c>
      <c r="D50" s="612">
        <v>1</v>
      </c>
      <c r="E50" s="565"/>
      <c r="F50" s="439"/>
      <c r="G50" s="439">
        <f>3.9*R2*0.55</f>
        <v>736417.11</v>
      </c>
      <c r="H50" s="439">
        <f>0.18*N50*0.55</f>
        <v>220284.99900000001</v>
      </c>
      <c r="I50" s="439">
        <f>D50*E50</f>
        <v>0</v>
      </c>
      <c r="J50" s="439">
        <f>D50*F50</f>
        <v>0</v>
      </c>
      <c r="K50" s="580">
        <f>G50*D50</f>
        <v>736417.11</v>
      </c>
      <c r="L50" s="581">
        <f>+H50*D50</f>
        <v>220284.99900000001</v>
      </c>
      <c r="M50" s="551" t="s">
        <v>241</v>
      </c>
      <c r="N50" s="439">
        <v>2225101</v>
      </c>
    </row>
    <row r="51" spans="1:14" ht="22.15" customHeight="1">
      <c r="A51" s="568" t="s">
        <v>46</v>
      </c>
      <c r="B51" s="569" t="s">
        <v>20</v>
      </c>
      <c r="C51" s="612"/>
      <c r="D51" s="612"/>
      <c r="E51" s="565"/>
      <c r="F51" s="439"/>
      <c r="G51" s="438"/>
      <c r="H51" s="438"/>
      <c r="I51" s="565"/>
      <c r="J51" s="565"/>
      <c r="K51" s="565"/>
      <c r="L51" s="566"/>
    </row>
    <row r="52" spans="1:14" ht="22.15" customHeight="1">
      <c r="A52" s="568">
        <v>1</v>
      </c>
      <c r="B52" s="569" t="s">
        <v>611</v>
      </c>
      <c r="C52" s="597" t="s">
        <v>87</v>
      </c>
      <c r="D52" s="597">
        <v>1</v>
      </c>
      <c r="E52" s="565"/>
      <c r="F52" s="439"/>
      <c r="G52" s="438"/>
      <c r="H52" s="438"/>
      <c r="I52" s="574">
        <f>SUM(I53:I57)</f>
        <v>0</v>
      </c>
      <c r="J52" s="574">
        <f>SUM(J53:J57)</f>
        <v>1265000</v>
      </c>
      <c r="K52" s="574">
        <f>SUM(K53:K57)</f>
        <v>711341.1632800001</v>
      </c>
      <c r="L52" s="575">
        <f>SUM(L53:L57)</f>
        <v>0</v>
      </c>
    </row>
    <row r="53" spans="1:14" s="683" customFormat="1" ht="22.15" customHeight="1">
      <c r="A53" s="673"/>
      <c r="B53" s="674" t="s">
        <v>696</v>
      </c>
      <c r="C53" s="675" t="s">
        <v>16</v>
      </c>
      <c r="D53" s="676">
        <v>2</v>
      </c>
      <c r="E53" s="677"/>
      <c r="F53" s="680">
        <f>'Gia VT'!D66</f>
        <v>565000</v>
      </c>
      <c r="G53" s="678"/>
      <c r="H53" s="678"/>
      <c r="I53" s="679">
        <f>+E53*D53</f>
        <v>0</v>
      </c>
      <c r="J53" s="680">
        <f>F53*D53</f>
        <v>1130000</v>
      </c>
      <c r="K53" s="681">
        <f>G53*D53</f>
        <v>0</v>
      </c>
      <c r="L53" s="682">
        <f>+H53*D53</f>
        <v>0</v>
      </c>
    </row>
    <row r="54" spans="1:14" s="683" customFormat="1" ht="22.15" customHeight="1">
      <c r="A54" s="673"/>
      <c r="B54" s="684" t="s">
        <v>255</v>
      </c>
      <c r="C54" s="685" t="s">
        <v>87</v>
      </c>
      <c r="D54" s="685">
        <v>2</v>
      </c>
      <c r="E54" s="677"/>
      <c r="F54" s="680">
        <f>'Gia VT'!D107</f>
        <v>20500</v>
      </c>
      <c r="G54" s="678"/>
      <c r="H54" s="678"/>
      <c r="I54" s="679">
        <f>+E54*D54</f>
        <v>0</v>
      </c>
      <c r="J54" s="680">
        <f>F54*D54</f>
        <v>41000</v>
      </c>
      <c r="K54" s="681">
        <f>G54*D54</f>
        <v>0</v>
      </c>
      <c r="L54" s="682">
        <f>+H54*D54</f>
        <v>0</v>
      </c>
    </row>
    <row r="55" spans="1:14" s="683" customFormat="1" ht="22.15" customHeight="1">
      <c r="A55" s="673"/>
      <c r="B55" s="684" t="s">
        <v>268</v>
      </c>
      <c r="C55" s="685" t="s">
        <v>87</v>
      </c>
      <c r="D55" s="685">
        <v>2</v>
      </c>
      <c r="E55" s="677"/>
      <c r="F55" s="680">
        <f>'Gia VT'!D106</f>
        <v>39000</v>
      </c>
      <c r="G55" s="678"/>
      <c r="H55" s="678"/>
      <c r="I55" s="679">
        <f>+E55*D55</f>
        <v>0</v>
      </c>
      <c r="J55" s="680">
        <f>F55*D55</f>
        <v>78000</v>
      </c>
      <c r="K55" s="681">
        <f>G55*D55</f>
        <v>0</v>
      </c>
      <c r="L55" s="682">
        <f>+H55*D55</f>
        <v>0</v>
      </c>
    </row>
    <row r="56" spans="1:14" s="683" customFormat="1" ht="22.15" customHeight="1">
      <c r="A56" s="686"/>
      <c r="B56" s="687" t="s">
        <v>88</v>
      </c>
      <c r="C56" s="688" t="s">
        <v>86</v>
      </c>
      <c r="D56" s="689">
        <f>SUM(D54:D55)*2</f>
        <v>8</v>
      </c>
      <c r="E56" s="679"/>
      <c r="F56" s="680">
        <f>'Gia VT'!D258</f>
        <v>2000</v>
      </c>
      <c r="G56" s="678"/>
      <c r="H56" s="678"/>
      <c r="I56" s="679">
        <f>+E56*D56</f>
        <v>0</v>
      </c>
      <c r="J56" s="680">
        <f>F56*D56</f>
        <v>16000</v>
      </c>
      <c r="K56" s="681">
        <f>G56*D56</f>
        <v>0</v>
      </c>
      <c r="L56" s="682">
        <f>+H56*D56</f>
        <v>0</v>
      </c>
    </row>
    <row r="57" spans="1:14" ht="22.15" customHeight="1">
      <c r="A57" s="604" t="s">
        <v>672</v>
      </c>
      <c r="B57" s="605" t="s">
        <v>1214</v>
      </c>
      <c r="C57" s="606" t="s">
        <v>87</v>
      </c>
      <c r="D57" s="588">
        <f>D52</f>
        <v>1</v>
      </c>
      <c r="E57" s="580"/>
      <c r="F57" s="439"/>
      <c r="G57" s="439">
        <f>2.216*R2*1.7*0.55</f>
        <v>711341.1632800001</v>
      </c>
      <c r="H57" s="438"/>
      <c r="I57" s="580">
        <f>+E57*D57</f>
        <v>0</v>
      </c>
      <c r="J57" s="439">
        <f>F57*D57</f>
        <v>0</v>
      </c>
      <c r="K57" s="601">
        <f>G57*D57</f>
        <v>711341.1632800001</v>
      </c>
      <c r="L57" s="602">
        <f>+H57*D57</f>
        <v>0</v>
      </c>
    </row>
    <row r="58" spans="1:14" ht="22.15" customHeight="1">
      <c r="A58" s="568">
        <v>2</v>
      </c>
      <c r="B58" s="569" t="s">
        <v>612</v>
      </c>
      <c r="C58" s="597" t="s">
        <v>87</v>
      </c>
      <c r="D58" s="597">
        <v>1</v>
      </c>
      <c r="E58" s="565"/>
      <c r="F58" s="439"/>
      <c r="G58" s="438"/>
      <c r="H58" s="438"/>
      <c r="I58" s="574">
        <f>SUM(I59:I65)</f>
        <v>0</v>
      </c>
      <c r="J58" s="574">
        <f>SUM(J59:J65)</f>
        <v>2309800</v>
      </c>
      <c r="K58" s="574">
        <f>SUM(K59:K65)</f>
        <v>685717.62434999994</v>
      </c>
      <c r="L58" s="575">
        <f>SUM(L59:L65)</f>
        <v>0</v>
      </c>
    </row>
    <row r="59" spans="1:14" ht="22.15" customHeight="1">
      <c r="A59" s="591"/>
      <c r="B59" s="598" t="s">
        <v>489</v>
      </c>
      <c r="C59" s="599" t="s">
        <v>16</v>
      </c>
      <c r="D59" s="600">
        <v>2</v>
      </c>
      <c r="E59" s="565"/>
      <c r="F59" s="640">
        <f>'Gia VT'!D67</f>
        <v>827000</v>
      </c>
      <c r="G59" s="438"/>
      <c r="H59" s="438"/>
      <c r="I59" s="580">
        <f t="shared" ref="I59:I65" si="9">+E59*D59</f>
        <v>0</v>
      </c>
      <c r="J59" s="439">
        <f t="shared" ref="J59:J65" si="10">F59*D59</f>
        <v>1654000</v>
      </c>
      <c r="K59" s="601">
        <f t="shared" ref="K59:K65" si="11">G59*D59</f>
        <v>0</v>
      </c>
      <c r="L59" s="602">
        <f t="shared" ref="L59:L65" si="12">+H59*D59</f>
        <v>0</v>
      </c>
      <c r="N59" s="607"/>
    </row>
    <row r="60" spans="1:14" ht="22.15" customHeight="1">
      <c r="A60" s="591"/>
      <c r="B60" s="598" t="s">
        <v>490</v>
      </c>
      <c r="C60" s="599" t="s">
        <v>616</v>
      </c>
      <c r="D60" s="600">
        <v>4</v>
      </c>
      <c r="E60" s="565"/>
      <c r="F60" s="640">
        <f>'Gia VT'!D69</f>
        <v>119000</v>
      </c>
      <c r="G60" s="438"/>
      <c r="H60" s="438"/>
      <c r="I60" s="580">
        <f t="shared" si="9"/>
        <v>0</v>
      </c>
      <c r="J60" s="439">
        <f t="shared" si="10"/>
        <v>476000</v>
      </c>
      <c r="K60" s="601">
        <f t="shared" si="11"/>
        <v>0</v>
      </c>
      <c r="L60" s="602">
        <f t="shared" si="12"/>
        <v>0</v>
      </c>
    </row>
    <row r="61" spans="1:14" ht="22.15" customHeight="1">
      <c r="A61" s="591"/>
      <c r="B61" s="592" t="s">
        <v>255</v>
      </c>
      <c r="C61" s="612" t="s">
        <v>87</v>
      </c>
      <c r="D61" s="612">
        <v>2</v>
      </c>
      <c r="E61" s="565"/>
      <c r="F61" s="439">
        <f>F54</f>
        <v>20500</v>
      </c>
      <c r="G61" s="438"/>
      <c r="H61" s="438"/>
      <c r="I61" s="580">
        <f t="shared" si="9"/>
        <v>0</v>
      </c>
      <c r="J61" s="439">
        <f t="shared" si="10"/>
        <v>41000</v>
      </c>
      <c r="K61" s="601">
        <f t="shared" si="11"/>
        <v>0</v>
      </c>
      <c r="L61" s="602">
        <f t="shared" si="12"/>
        <v>0</v>
      </c>
    </row>
    <row r="62" spans="1:14" ht="22.15" customHeight="1">
      <c r="A62" s="591"/>
      <c r="B62" s="592" t="s">
        <v>268</v>
      </c>
      <c r="C62" s="612" t="s">
        <v>87</v>
      </c>
      <c r="D62" s="612">
        <v>2</v>
      </c>
      <c r="E62" s="565"/>
      <c r="F62" s="439">
        <f>F55</f>
        <v>39000</v>
      </c>
      <c r="G62" s="438"/>
      <c r="H62" s="438"/>
      <c r="I62" s="580">
        <f t="shared" si="9"/>
        <v>0</v>
      </c>
      <c r="J62" s="439">
        <f t="shared" si="10"/>
        <v>78000</v>
      </c>
      <c r="K62" s="601">
        <f t="shared" si="11"/>
        <v>0</v>
      </c>
      <c r="L62" s="602">
        <f t="shared" si="12"/>
        <v>0</v>
      </c>
    </row>
    <row r="63" spans="1:14" ht="22.15" customHeight="1">
      <c r="A63" s="596"/>
      <c r="B63" s="603" t="s">
        <v>259</v>
      </c>
      <c r="C63" s="595" t="s">
        <v>87</v>
      </c>
      <c r="D63" s="588">
        <v>4</v>
      </c>
      <c r="E63" s="580"/>
      <c r="F63" s="439">
        <f>'Gia VT'!D109</f>
        <v>7200</v>
      </c>
      <c r="G63" s="438"/>
      <c r="H63" s="438"/>
      <c r="I63" s="580">
        <f t="shared" si="9"/>
        <v>0</v>
      </c>
      <c r="J63" s="439">
        <f t="shared" si="10"/>
        <v>28800</v>
      </c>
      <c r="K63" s="601">
        <f t="shared" si="11"/>
        <v>0</v>
      </c>
      <c r="L63" s="602">
        <f t="shared" si="12"/>
        <v>0</v>
      </c>
    </row>
    <row r="64" spans="1:14" ht="22.15" customHeight="1">
      <c r="A64" s="596"/>
      <c r="B64" s="603" t="s">
        <v>88</v>
      </c>
      <c r="C64" s="595" t="s">
        <v>86</v>
      </c>
      <c r="D64" s="588">
        <f>SUM(D61:D63)*2</f>
        <v>16</v>
      </c>
      <c r="E64" s="580"/>
      <c r="F64" s="439">
        <f>F56</f>
        <v>2000</v>
      </c>
      <c r="G64" s="438"/>
      <c r="H64" s="438"/>
      <c r="I64" s="580">
        <f t="shared" si="9"/>
        <v>0</v>
      </c>
      <c r="J64" s="439">
        <f t="shared" si="10"/>
        <v>32000</v>
      </c>
      <c r="K64" s="601">
        <f t="shared" si="11"/>
        <v>0</v>
      </c>
      <c r="L64" s="602">
        <f t="shared" si="12"/>
        <v>0</v>
      </c>
    </row>
    <row r="65" spans="1:15" ht="22.15" customHeight="1">
      <c r="A65" s="604" t="s">
        <v>272</v>
      </c>
      <c r="B65" s="605" t="s">
        <v>335</v>
      </c>
      <c r="C65" s="606" t="s">
        <v>87</v>
      </c>
      <c r="D65" s="588">
        <f>D58</f>
        <v>1</v>
      </c>
      <c r="E65" s="580"/>
      <c r="F65" s="439"/>
      <c r="G65" s="439">
        <f>2.421*R2*1.5*0.55</f>
        <v>685717.62434999994</v>
      </c>
      <c r="H65" s="438"/>
      <c r="I65" s="580">
        <f t="shared" si="9"/>
        <v>0</v>
      </c>
      <c r="J65" s="439">
        <f t="shared" si="10"/>
        <v>0</v>
      </c>
      <c r="K65" s="601">
        <f t="shared" si="11"/>
        <v>685717.62434999994</v>
      </c>
      <c r="L65" s="602">
        <f t="shared" si="12"/>
        <v>0</v>
      </c>
    </row>
    <row r="66" spans="1:15" ht="22.15" customHeight="1">
      <c r="A66" s="568">
        <v>3</v>
      </c>
      <c r="B66" s="569" t="s">
        <v>609</v>
      </c>
      <c r="C66" s="597" t="s">
        <v>87</v>
      </c>
      <c r="D66" s="597">
        <v>1</v>
      </c>
      <c r="E66" s="580"/>
      <c r="F66" s="439"/>
      <c r="G66" s="438"/>
      <c r="H66" s="438"/>
      <c r="I66" s="580">
        <f>SUM(I67:I72)</f>
        <v>0</v>
      </c>
      <c r="J66" s="574">
        <f>SUM(J67:J72)</f>
        <v>1136400</v>
      </c>
      <c r="K66" s="574">
        <f>SUM(K67:K72)</f>
        <v>382653.65985000005</v>
      </c>
      <c r="L66" s="575">
        <f>SUM(L67:L72)</f>
        <v>0</v>
      </c>
    </row>
    <row r="67" spans="1:15" ht="22.15" customHeight="1">
      <c r="A67" s="591"/>
      <c r="B67" s="598" t="s">
        <v>489</v>
      </c>
      <c r="C67" s="599" t="s">
        <v>16</v>
      </c>
      <c r="D67" s="600">
        <v>1</v>
      </c>
      <c r="E67" s="608"/>
      <c r="F67" s="640">
        <f>F59</f>
        <v>827000</v>
      </c>
      <c r="G67" s="439"/>
      <c r="H67" s="565"/>
      <c r="I67" s="580">
        <f>+E67*D67</f>
        <v>0</v>
      </c>
      <c r="J67" s="439">
        <f t="shared" ref="J67:J72" si="13">F67*D67</f>
        <v>827000</v>
      </c>
      <c r="K67" s="580">
        <f t="shared" ref="K67:K72" si="14">G67*D67</f>
        <v>0</v>
      </c>
      <c r="L67" s="602">
        <f t="shared" ref="L67:L72" si="15">+H67*D67</f>
        <v>0</v>
      </c>
    </row>
    <row r="68" spans="1:15" ht="22.15" customHeight="1">
      <c r="A68" s="591"/>
      <c r="B68" s="598" t="s">
        <v>490</v>
      </c>
      <c r="C68" s="599" t="s">
        <v>616</v>
      </c>
      <c r="D68" s="600">
        <v>2</v>
      </c>
      <c r="E68" s="580"/>
      <c r="F68" s="640">
        <f>F60</f>
        <v>119000</v>
      </c>
      <c r="G68" s="439"/>
      <c r="H68" s="438"/>
      <c r="I68" s="580">
        <f>+E68*D68</f>
        <v>0</v>
      </c>
      <c r="J68" s="439">
        <f t="shared" si="13"/>
        <v>238000</v>
      </c>
      <c r="K68" s="601">
        <f t="shared" si="14"/>
        <v>0</v>
      </c>
      <c r="L68" s="602">
        <f t="shared" si="15"/>
        <v>0</v>
      </c>
    </row>
    <row r="69" spans="1:15" ht="22.15" customHeight="1">
      <c r="A69" s="591"/>
      <c r="B69" s="592" t="s">
        <v>255</v>
      </c>
      <c r="C69" s="612" t="s">
        <v>87</v>
      </c>
      <c r="D69" s="612">
        <v>2</v>
      </c>
      <c r="E69" s="565"/>
      <c r="F69" s="439">
        <f>F54</f>
        <v>20500</v>
      </c>
      <c r="G69" s="438"/>
      <c r="H69" s="438"/>
      <c r="I69" s="574">
        <f>SUM(I70:I72)</f>
        <v>0</v>
      </c>
      <c r="J69" s="439">
        <f t="shared" si="13"/>
        <v>41000</v>
      </c>
      <c r="K69" s="601">
        <f t="shared" si="14"/>
        <v>0</v>
      </c>
      <c r="L69" s="602">
        <f t="shared" si="15"/>
        <v>0</v>
      </c>
    </row>
    <row r="70" spans="1:15" ht="22.15" customHeight="1">
      <c r="A70" s="596"/>
      <c r="B70" s="603" t="s">
        <v>259</v>
      </c>
      <c r="C70" s="595" t="s">
        <v>87</v>
      </c>
      <c r="D70" s="588">
        <v>2</v>
      </c>
      <c r="E70" s="565"/>
      <c r="F70" s="439">
        <f>F63</f>
        <v>7200</v>
      </c>
      <c r="G70" s="438"/>
      <c r="H70" s="438"/>
      <c r="I70" s="580">
        <f>+E70*D70</f>
        <v>0</v>
      </c>
      <c r="J70" s="439">
        <f t="shared" si="13"/>
        <v>14400</v>
      </c>
      <c r="K70" s="601">
        <f t="shared" si="14"/>
        <v>0</v>
      </c>
      <c r="L70" s="602">
        <f t="shared" si="15"/>
        <v>0</v>
      </c>
    </row>
    <row r="71" spans="1:15" ht="22.15" customHeight="1">
      <c r="A71" s="596"/>
      <c r="B71" s="603" t="s">
        <v>88</v>
      </c>
      <c r="C71" s="595" t="s">
        <v>86</v>
      </c>
      <c r="D71" s="588">
        <f>SUM(D69:D70)*2</f>
        <v>8</v>
      </c>
      <c r="E71" s="565"/>
      <c r="F71" s="439">
        <f>F64</f>
        <v>2000</v>
      </c>
      <c r="G71" s="438"/>
      <c r="H71" s="438"/>
      <c r="I71" s="580">
        <f>+E71*D71</f>
        <v>0</v>
      </c>
      <c r="J71" s="439">
        <f t="shared" si="13"/>
        <v>16000</v>
      </c>
      <c r="K71" s="601">
        <f t="shared" si="14"/>
        <v>0</v>
      </c>
      <c r="L71" s="602">
        <f t="shared" si="15"/>
        <v>0</v>
      </c>
    </row>
    <row r="72" spans="1:15" ht="22.15" customHeight="1">
      <c r="A72" s="604" t="s">
        <v>671</v>
      </c>
      <c r="B72" s="605" t="s">
        <v>697</v>
      </c>
      <c r="C72" s="606" t="s">
        <v>87</v>
      </c>
      <c r="D72" s="588">
        <f>D66</f>
        <v>1</v>
      </c>
      <c r="E72" s="565"/>
      <c r="F72" s="439"/>
      <c r="G72" s="439">
        <f>1.5*R2*1.351*0.55</f>
        <v>382653.65985000005</v>
      </c>
      <c r="H72" s="438"/>
      <c r="I72" s="580">
        <f>+E72*D72</f>
        <v>0</v>
      </c>
      <c r="J72" s="439">
        <f t="shared" si="13"/>
        <v>0</v>
      </c>
      <c r="K72" s="601">
        <f t="shared" si="14"/>
        <v>382653.65985000005</v>
      </c>
      <c r="L72" s="602">
        <f t="shared" si="15"/>
        <v>0</v>
      </c>
      <c r="N72" s="551">
        <v>119000</v>
      </c>
      <c r="O72" s="551">
        <v>920</v>
      </c>
    </row>
    <row r="73" spans="1:15" ht="22.15" customHeight="1">
      <c r="A73" s="568">
        <v>4</v>
      </c>
      <c r="B73" s="569" t="s">
        <v>956</v>
      </c>
      <c r="C73" s="597" t="s">
        <v>87</v>
      </c>
      <c r="D73" s="597">
        <v>1</v>
      </c>
      <c r="E73" s="580"/>
      <c r="F73" s="439"/>
      <c r="G73" s="438"/>
      <c r="H73" s="438"/>
      <c r="I73" s="580">
        <f>SUM(I74:I79)</f>
        <v>0</v>
      </c>
      <c r="J73" s="574">
        <f>SUM(J74:J79)</f>
        <v>844200</v>
      </c>
      <c r="K73" s="574">
        <f>SUM(K74:K79)</f>
        <v>339035.10795000003</v>
      </c>
      <c r="L73" s="575">
        <f>SUM(L74:L79)</f>
        <v>0</v>
      </c>
      <c r="N73" s="551">
        <f>O73*N72/O72</f>
        <v>148750</v>
      </c>
      <c r="O73" s="551">
        <v>1150</v>
      </c>
    </row>
    <row r="74" spans="1:15" ht="22.15" customHeight="1">
      <c r="A74" s="591"/>
      <c r="B74" s="598" t="s">
        <v>957</v>
      </c>
      <c r="C74" s="599" t="s">
        <v>16</v>
      </c>
      <c r="D74" s="600">
        <v>1</v>
      </c>
      <c r="E74" s="565"/>
      <c r="F74" s="640">
        <f>'Gia VT'!D63</f>
        <v>677000</v>
      </c>
      <c r="G74" s="438"/>
      <c r="H74" s="565"/>
      <c r="I74" s="580"/>
      <c r="J74" s="439">
        <f t="shared" ref="J74:J79" si="16">F74*D74</f>
        <v>677000</v>
      </c>
      <c r="K74" s="580">
        <f t="shared" ref="K74:K79" si="17">G74*D74</f>
        <v>0</v>
      </c>
      <c r="L74" s="602">
        <f t="shared" ref="L74:L79" si="18">+H74*D74</f>
        <v>0</v>
      </c>
    </row>
    <row r="75" spans="1:15" ht="22.15" customHeight="1">
      <c r="A75" s="591"/>
      <c r="B75" s="598" t="s">
        <v>958</v>
      </c>
      <c r="C75" s="599" t="s">
        <v>616</v>
      </c>
      <c r="D75" s="600">
        <v>1</v>
      </c>
      <c r="E75" s="565"/>
      <c r="F75" s="439">
        <f>'Gia VT'!D336</f>
        <v>107000</v>
      </c>
      <c r="G75" s="438"/>
      <c r="H75" s="438"/>
      <c r="I75" s="580"/>
      <c r="J75" s="439">
        <f t="shared" si="16"/>
        <v>107000</v>
      </c>
      <c r="K75" s="601">
        <f t="shared" si="17"/>
        <v>0</v>
      </c>
      <c r="L75" s="602">
        <f t="shared" si="18"/>
        <v>0</v>
      </c>
    </row>
    <row r="76" spans="1:15" ht="22.15" customHeight="1">
      <c r="A76" s="591"/>
      <c r="B76" s="592" t="s">
        <v>255</v>
      </c>
      <c r="C76" s="612" t="s">
        <v>87</v>
      </c>
      <c r="D76" s="612">
        <v>2</v>
      </c>
      <c r="E76" s="565"/>
      <c r="F76" s="439">
        <f>F69</f>
        <v>20500</v>
      </c>
      <c r="G76" s="438"/>
      <c r="H76" s="438"/>
      <c r="I76" s="574">
        <f>SUM(I77:I79)</f>
        <v>0</v>
      </c>
      <c r="J76" s="439">
        <f t="shared" si="16"/>
        <v>41000</v>
      </c>
      <c r="K76" s="601">
        <f t="shared" si="17"/>
        <v>0</v>
      </c>
      <c r="L76" s="602">
        <f t="shared" si="18"/>
        <v>0</v>
      </c>
    </row>
    <row r="77" spans="1:15" ht="22.15" customHeight="1">
      <c r="A77" s="596"/>
      <c r="B77" s="603" t="s">
        <v>259</v>
      </c>
      <c r="C77" s="595" t="s">
        <v>87</v>
      </c>
      <c r="D77" s="588">
        <v>1</v>
      </c>
      <c r="E77" s="565"/>
      <c r="F77" s="439">
        <f>F70</f>
        <v>7200</v>
      </c>
      <c r="G77" s="438"/>
      <c r="H77" s="438"/>
      <c r="I77" s="580">
        <f>+E77*D77</f>
        <v>0</v>
      </c>
      <c r="J77" s="439">
        <f t="shared" si="16"/>
        <v>7200</v>
      </c>
      <c r="K77" s="601">
        <f t="shared" si="17"/>
        <v>0</v>
      </c>
      <c r="L77" s="602">
        <f t="shared" si="18"/>
        <v>0</v>
      </c>
    </row>
    <row r="78" spans="1:15" ht="22.15" customHeight="1">
      <c r="A78" s="596"/>
      <c r="B78" s="603" t="s">
        <v>88</v>
      </c>
      <c r="C78" s="595" t="s">
        <v>86</v>
      </c>
      <c r="D78" s="588">
        <f>SUM(D76:D77)*2</f>
        <v>6</v>
      </c>
      <c r="E78" s="565"/>
      <c r="F78" s="439">
        <f>F71</f>
        <v>2000</v>
      </c>
      <c r="G78" s="438"/>
      <c r="H78" s="438"/>
      <c r="I78" s="580">
        <f>+E78*D78</f>
        <v>0</v>
      </c>
      <c r="J78" s="439">
        <f t="shared" si="16"/>
        <v>12000</v>
      </c>
      <c r="K78" s="601">
        <f t="shared" si="17"/>
        <v>0</v>
      </c>
      <c r="L78" s="602">
        <f t="shared" si="18"/>
        <v>0</v>
      </c>
    </row>
    <row r="79" spans="1:15" ht="22.15" customHeight="1">
      <c r="A79" s="604" t="s">
        <v>671</v>
      </c>
      <c r="B79" s="605" t="s">
        <v>960</v>
      </c>
      <c r="C79" s="606" t="s">
        <v>87</v>
      </c>
      <c r="D79" s="588">
        <f>D73</f>
        <v>1</v>
      </c>
      <c r="E79" s="580"/>
      <c r="F79" s="439"/>
      <c r="G79" s="439">
        <f>1.197*R2*1.5*0.55</f>
        <v>339035.10795000003</v>
      </c>
      <c r="H79" s="438"/>
      <c r="I79" s="580">
        <f>+E79*D79</f>
        <v>0</v>
      </c>
      <c r="J79" s="439">
        <f t="shared" si="16"/>
        <v>0</v>
      </c>
      <c r="K79" s="601">
        <f t="shared" si="17"/>
        <v>339035.10795000003</v>
      </c>
      <c r="L79" s="602">
        <f t="shared" si="18"/>
        <v>0</v>
      </c>
    </row>
    <row r="80" spans="1:15" ht="22.15" customHeight="1">
      <c r="A80" s="568">
        <v>5</v>
      </c>
      <c r="B80" s="569" t="s">
        <v>959</v>
      </c>
      <c r="C80" s="597" t="s">
        <v>87</v>
      </c>
      <c r="D80" s="597">
        <v>1</v>
      </c>
      <c r="E80" s="580"/>
      <c r="F80" s="439"/>
      <c r="G80" s="438"/>
      <c r="H80" s="438"/>
      <c r="I80" s="580">
        <f>SUM(I81:I87)</f>
        <v>0</v>
      </c>
      <c r="J80" s="574">
        <f>SUM(J81:J87)</f>
        <v>1725400</v>
      </c>
      <c r="K80" s="574">
        <f>SUM(K81:K87)</f>
        <v>469041.05160000006</v>
      </c>
      <c r="L80" s="575">
        <f>SUM(L81:L87)</f>
        <v>0</v>
      </c>
    </row>
    <row r="81" spans="1:12" ht="22.15" customHeight="1">
      <c r="A81" s="591"/>
      <c r="B81" s="598" t="s">
        <v>957</v>
      </c>
      <c r="C81" s="599" t="s">
        <v>16</v>
      </c>
      <c r="D81" s="600">
        <v>2</v>
      </c>
      <c r="E81" s="565"/>
      <c r="F81" s="640">
        <f>F74</f>
        <v>677000</v>
      </c>
      <c r="G81" s="438"/>
      <c r="H81" s="565"/>
      <c r="I81" s="580"/>
      <c r="J81" s="439">
        <f t="shared" ref="J81:J87" si="19">F81*D81</f>
        <v>1354000</v>
      </c>
      <c r="K81" s="580">
        <f t="shared" ref="K81:K87" si="20">G81*D81</f>
        <v>0</v>
      </c>
      <c r="L81" s="602">
        <f t="shared" ref="L81:L87" si="21">+H81*D81</f>
        <v>0</v>
      </c>
    </row>
    <row r="82" spans="1:12" ht="22.15" customHeight="1">
      <c r="A82" s="591"/>
      <c r="B82" s="598" t="s">
        <v>958</v>
      </c>
      <c r="C82" s="599" t="s">
        <v>616</v>
      </c>
      <c r="D82" s="600">
        <v>2</v>
      </c>
      <c r="E82" s="565"/>
      <c r="F82" s="439">
        <f>F75</f>
        <v>107000</v>
      </c>
      <c r="G82" s="438"/>
      <c r="H82" s="438"/>
      <c r="I82" s="580"/>
      <c r="J82" s="439">
        <f t="shared" si="19"/>
        <v>214000</v>
      </c>
      <c r="K82" s="601">
        <f t="shared" si="20"/>
        <v>0</v>
      </c>
      <c r="L82" s="602">
        <f t="shared" si="21"/>
        <v>0</v>
      </c>
    </row>
    <row r="83" spans="1:12" ht="22.15" customHeight="1">
      <c r="A83" s="591"/>
      <c r="B83" s="592" t="s">
        <v>268</v>
      </c>
      <c r="C83" s="612" t="s">
        <v>87</v>
      </c>
      <c r="D83" s="612">
        <v>2</v>
      </c>
      <c r="E83" s="565"/>
      <c r="F83" s="439">
        <f>F55</f>
        <v>39000</v>
      </c>
      <c r="G83" s="438"/>
      <c r="H83" s="438"/>
      <c r="I83" s="580">
        <f>+E83*D83</f>
        <v>0</v>
      </c>
      <c r="J83" s="439">
        <f t="shared" si="19"/>
        <v>78000</v>
      </c>
      <c r="K83" s="601">
        <f t="shared" si="20"/>
        <v>0</v>
      </c>
      <c r="L83" s="602">
        <f t="shared" si="21"/>
        <v>0</v>
      </c>
    </row>
    <row r="84" spans="1:12" ht="22.15" customHeight="1">
      <c r="A84" s="591"/>
      <c r="B84" s="592" t="s">
        <v>255</v>
      </c>
      <c r="C84" s="612" t="s">
        <v>87</v>
      </c>
      <c r="D84" s="612">
        <v>2</v>
      </c>
      <c r="E84" s="565"/>
      <c r="F84" s="439">
        <f>F76</f>
        <v>20500</v>
      </c>
      <c r="G84" s="438"/>
      <c r="H84" s="438"/>
      <c r="I84" s="574">
        <f>SUM(I85:I87)</f>
        <v>0</v>
      </c>
      <c r="J84" s="439">
        <f t="shared" si="19"/>
        <v>41000</v>
      </c>
      <c r="K84" s="601">
        <f t="shared" si="20"/>
        <v>0</v>
      </c>
      <c r="L84" s="602">
        <f t="shared" si="21"/>
        <v>0</v>
      </c>
    </row>
    <row r="85" spans="1:12" ht="22.15" customHeight="1">
      <c r="A85" s="596"/>
      <c r="B85" s="603" t="s">
        <v>259</v>
      </c>
      <c r="C85" s="595" t="s">
        <v>87</v>
      </c>
      <c r="D85" s="588">
        <v>2</v>
      </c>
      <c r="E85" s="565"/>
      <c r="F85" s="439">
        <f>F77</f>
        <v>7200</v>
      </c>
      <c r="G85" s="438"/>
      <c r="H85" s="438"/>
      <c r="I85" s="580">
        <f>+E85*D85</f>
        <v>0</v>
      </c>
      <c r="J85" s="439">
        <f t="shared" si="19"/>
        <v>14400</v>
      </c>
      <c r="K85" s="601">
        <f t="shared" si="20"/>
        <v>0</v>
      </c>
      <c r="L85" s="602">
        <f t="shared" si="21"/>
        <v>0</v>
      </c>
    </row>
    <row r="86" spans="1:12" ht="22.15" customHeight="1">
      <c r="A86" s="596"/>
      <c r="B86" s="603" t="s">
        <v>88</v>
      </c>
      <c r="C86" s="595" t="s">
        <v>86</v>
      </c>
      <c r="D86" s="588">
        <v>12</v>
      </c>
      <c r="E86" s="565"/>
      <c r="F86" s="439">
        <f>F78</f>
        <v>2000</v>
      </c>
      <c r="G86" s="438"/>
      <c r="H86" s="438"/>
      <c r="I86" s="580">
        <f>+E86*D86</f>
        <v>0</v>
      </c>
      <c r="J86" s="439">
        <f t="shared" si="19"/>
        <v>24000</v>
      </c>
      <c r="K86" s="601">
        <f t="shared" si="20"/>
        <v>0</v>
      </c>
      <c r="L86" s="602">
        <f t="shared" si="21"/>
        <v>0</v>
      </c>
    </row>
    <row r="87" spans="1:12" ht="22.15" customHeight="1">
      <c r="A87" s="604" t="s">
        <v>671</v>
      </c>
      <c r="B87" s="605" t="s">
        <v>961</v>
      </c>
      <c r="C87" s="606" t="s">
        <v>87</v>
      </c>
      <c r="D87" s="588">
        <f>D80</f>
        <v>1</v>
      </c>
      <c r="E87" s="580"/>
      <c r="F87" s="439"/>
      <c r="G87" s="439">
        <f>1.656*R2*1.5*0.55</f>
        <v>469041.05160000006</v>
      </c>
      <c r="H87" s="438"/>
      <c r="I87" s="580">
        <f>+E87*D87</f>
        <v>0</v>
      </c>
      <c r="J87" s="439">
        <f t="shared" si="19"/>
        <v>0</v>
      </c>
      <c r="K87" s="601">
        <f t="shared" si="20"/>
        <v>469041.05160000006</v>
      </c>
      <c r="L87" s="602">
        <f t="shared" si="21"/>
        <v>0</v>
      </c>
    </row>
    <row r="88" spans="1:12" ht="22.15" customHeight="1">
      <c r="A88" s="568">
        <v>6</v>
      </c>
      <c r="B88" s="569" t="s">
        <v>613</v>
      </c>
      <c r="C88" s="597" t="s">
        <v>87</v>
      </c>
      <c r="D88" s="597">
        <v>1</v>
      </c>
      <c r="E88" s="580"/>
      <c r="F88" s="439"/>
      <c r="G88" s="438"/>
      <c r="H88" s="438"/>
      <c r="I88" s="574">
        <f>SUM(I89:I95)</f>
        <v>0</v>
      </c>
      <c r="J88" s="574">
        <f>SUM(J89:J95)</f>
        <v>1591800</v>
      </c>
      <c r="K88" s="574">
        <f>SUM(K89:K95)</f>
        <v>637567.27485000005</v>
      </c>
      <c r="L88" s="575">
        <f>SUM(L89:L95)</f>
        <v>0</v>
      </c>
    </row>
    <row r="89" spans="1:12" ht="22.15" customHeight="1">
      <c r="A89" s="591"/>
      <c r="B89" s="598" t="s">
        <v>698</v>
      </c>
      <c r="C89" s="599" t="s">
        <v>16</v>
      </c>
      <c r="D89" s="600">
        <v>2</v>
      </c>
      <c r="E89" s="608"/>
      <c r="F89" s="439">
        <f>'Gia VT'!D62</f>
        <v>468000</v>
      </c>
      <c r="G89" s="439"/>
      <c r="H89" s="565"/>
      <c r="I89" s="580">
        <f>+E89*D89</f>
        <v>0</v>
      </c>
      <c r="J89" s="439">
        <f t="shared" ref="J89:J95" si="22">F89*D89</f>
        <v>936000</v>
      </c>
      <c r="K89" s="580">
        <f t="shared" ref="K89:K95" si="23">G89*D89</f>
        <v>0</v>
      </c>
      <c r="L89" s="602">
        <f t="shared" ref="L89:L95" si="24">+H89*D89</f>
        <v>0</v>
      </c>
    </row>
    <row r="90" spans="1:12" ht="22.15" customHeight="1">
      <c r="A90" s="591"/>
      <c r="B90" s="598" t="s">
        <v>490</v>
      </c>
      <c r="C90" s="599" t="s">
        <v>616</v>
      </c>
      <c r="D90" s="600">
        <v>4</v>
      </c>
      <c r="E90" s="580"/>
      <c r="F90" s="640">
        <f>F60</f>
        <v>119000</v>
      </c>
      <c r="G90" s="439"/>
      <c r="H90" s="438"/>
      <c r="I90" s="580">
        <f>+E90*D90</f>
        <v>0</v>
      </c>
      <c r="J90" s="439">
        <f t="shared" si="22"/>
        <v>476000</v>
      </c>
      <c r="K90" s="601">
        <f t="shared" si="23"/>
        <v>0</v>
      </c>
      <c r="L90" s="602">
        <f t="shared" si="24"/>
        <v>0</v>
      </c>
    </row>
    <row r="91" spans="1:12" ht="22.15" customHeight="1">
      <c r="A91" s="591"/>
      <c r="B91" s="592" t="s">
        <v>255</v>
      </c>
      <c r="C91" s="612" t="s">
        <v>87</v>
      </c>
      <c r="D91" s="612">
        <v>2</v>
      </c>
      <c r="E91" s="565"/>
      <c r="F91" s="439">
        <f>F84</f>
        <v>20500</v>
      </c>
      <c r="G91" s="438"/>
      <c r="H91" s="438"/>
      <c r="I91" s="574">
        <f>SUM(I93:I95)</f>
        <v>0</v>
      </c>
      <c r="J91" s="439">
        <f t="shared" si="22"/>
        <v>41000</v>
      </c>
      <c r="K91" s="601">
        <f t="shared" si="23"/>
        <v>0</v>
      </c>
      <c r="L91" s="602">
        <f t="shared" si="24"/>
        <v>0</v>
      </c>
    </row>
    <row r="92" spans="1:12" ht="22.15" customHeight="1">
      <c r="A92" s="591"/>
      <c r="B92" s="592" t="s">
        <v>268</v>
      </c>
      <c r="C92" s="612" t="s">
        <v>87</v>
      </c>
      <c r="D92" s="612">
        <v>2</v>
      </c>
      <c r="E92" s="565"/>
      <c r="F92" s="439">
        <f>F83</f>
        <v>39000</v>
      </c>
      <c r="G92" s="438"/>
      <c r="H92" s="438"/>
      <c r="I92" s="580">
        <f>+E92*D92</f>
        <v>0</v>
      </c>
      <c r="J92" s="439">
        <f t="shared" si="22"/>
        <v>78000</v>
      </c>
      <c r="K92" s="601">
        <f t="shared" si="23"/>
        <v>0</v>
      </c>
      <c r="L92" s="602">
        <f t="shared" si="24"/>
        <v>0</v>
      </c>
    </row>
    <row r="93" spans="1:12" ht="22.15" customHeight="1">
      <c r="A93" s="596"/>
      <c r="B93" s="603" t="s">
        <v>259</v>
      </c>
      <c r="C93" s="595" t="s">
        <v>87</v>
      </c>
      <c r="D93" s="588">
        <v>4</v>
      </c>
      <c r="E93" s="565"/>
      <c r="F93" s="439">
        <f>F85</f>
        <v>7200</v>
      </c>
      <c r="G93" s="438"/>
      <c r="H93" s="438"/>
      <c r="I93" s="580">
        <f>+E93*D93</f>
        <v>0</v>
      </c>
      <c r="J93" s="439">
        <f t="shared" si="22"/>
        <v>28800</v>
      </c>
      <c r="K93" s="601">
        <f t="shared" si="23"/>
        <v>0</v>
      </c>
      <c r="L93" s="602">
        <f t="shared" si="24"/>
        <v>0</v>
      </c>
    </row>
    <row r="94" spans="1:12" ht="22.15" customHeight="1">
      <c r="A94" s="596"/>
      <c r="B94" s="603" t="s">
        <v>88</v>
      </c>
      <c r="C94" s="595" t="s">
        <v>86</v>
      </c>
      <c r="D94" s="588">
        <f>SUM(D91:D93)*2</f>
        <v>16</v>
      </c>
      <c r="E94" s="565"/>
      <c r="F94" s="439">
        <f>F86</f>
        <v>2000</v>
      </c>
      <c r="G94" s="438"/>
      <c r="H94" s="438"/>
      <c r="I94" s="580">
        <f>+E94*D94</f>
        <v>0</v>
      </c>
      <c r="J94" s="439">
        <f t="shared" si="22"/>
        <v>32000</v>
      </c>
      <c r="K94" s="601">
        <f t="shared" si="23"/>
        <v>0</v>
      </c>
      <c r="L94" s="602">
        <f t="shared" si="24"/>
        <v>0</v>
      </c>
    </row>
    <row r="95" spans="1:12" ht="22.15" customHeight="1">
      <c r="A95" s="604" t="s">
        <v>672</v>
      </c>
      <c r="B95" s="605" t="s">
        <v>699</v>
      </c>
      <c r="C95" s="606" t="s">
        <v>87</v>
      </c>
      <c r="D95" s="588">
        <f>D88</f>
        <v>1</v>
      </c>
      <c r="E95" s="580"/>
      <c r="F95" s="439"/>
      <c r="G95" s="439">
        <f>2.251*R2*1.5*0.55</f>
        <v>637567.27485000005</v>
      </c>
      <c r="H95" s="438"/>
      <c r="I95" s="580">
        <f>+E95*D95</f>
        <v>0</v>
      </c>
      <c r="J95" s="439">
        <f t="shared" si="22"/>
        <v>0</v>
      </c>
      <c r="K95" s="601">
        <f t="shared" si="23"/>
        <v>637567.27485000005</v>
      </c>
      <c r="L95" s="602">
        <f t="shared" si="24"/>
        <v>0</v>
      </c>
    </row>
    <row r="96" spans="1:12" ht="22.15" customHeight="1">
      <c r="A96" s="568">
        <v>7</v>
      </c>
      <c r="B96" s="569" t="s">
        <v>585</v>
      </c>
      <c r="C96" s="597" t="s">
        <v>87</v>
      </c>
      <c r="D96" s="597">
        <v>1</v>
      </c>
      <c r="E96" s="565"/>
      <c r="F96" s="439"/>
      <c r="G96" s="438"/>
      <c r="H96" s="438"/>
      <c r="I96" s="574">
        <f>SUM(I97:I106)</f>
        <v>0</v>
      </c>
      <c r="J96" s="574">
        <f>SUM(J97:J106)</f>
        <v>3477800</v>
      </c>
      <c r="K96" s="574">
        <f>SUM(K97:K106)</f>
        <v>912307.50434999994</v>
      </c>
      <c r="L96" s="575">
        <f>SUM(L97:L106)</f>
        <v>0</v>
      </c>
    </row>
    <row r="97" spans="1:16" ht="22.15" customHeight="1">
      <c r="A97" s="591"/>
      <c r="B97" s="598" t="s">
        <v>489</v>
      </c>
      <c r="C97" s="599" t="s">
        <v>16</v>
      </c>
      <c r="D97" s="600">
        <v>2</v>
      </c>
      <c r="E97" s="565"/>
      <c r="F97" s="640">
        <f>F59</f>
        <v>827000</v>
      </c>
      <c r="G97" s="438"/>
      <c r="H97" s="438"/>
      <c r="I97" s="580">
        <f t="shared" ref="I97:I106" si="25">+E97*D97</f>
        <v>0</v>
      </c>
      <c r="J97" s="439">
        <f t="shared" ref="J97:J106" si="26">F97*D97</f>
        <v>1654000</v>
      </c>
      <c r="K97" s="601">
        <f t="shared" ref="K97:K106" si="27">G97*D97</f>
        <v>0</v>
      </c>
      <c r="L97" s="602">
        <f t="shared" ref="L97:L106" si="28">+H97*D97</f>
        <v>0</v>
      </c>
      <c r="N97" s="607"/>
    </row>
    <row r="98" spans="1:16" ht="22.15" customHeight="1">
      <c r="A98" s="591"/>
      <c r="B98" s="598" t="s">
        <v>490</v>
      </c>
      <c r="C98" s="599" t="s">
        <v>616</v>
      </c>
      <c r="D98" s="600">
        <v>4</v>
      </c>
      <c r="E98" s="565"/>
      <c r="F98" s="640">
        <f>F90</f>
        <v>119000</v>
      </c>
      <c r="G98" s="438"/>
      <c r="H98" s="438"/>
      <c r="I98" s="580">
        <f t="shared" si="25"/>
        <v>0</v>
      </c>
      <c r="J98" s="439">
        <f t="shared" si="26"/>
        <v>476000</v>
      </c>
      <c r="K98" s="601">
        <f t="shared" si="27"/>
        <v>0</v>
      </c>
      <c r="L98" s="602">
        <f t="shared" si="28"/>
        <v>0</v>
      </c>
    </row>
    <row r="99" spans="1:16" ht="22.15" customHeight="1">
      <c r="A99" s="591"/>
      <c r="B99" s="598" t="s">
        <v>614</v>
      </c>
      <c r="C99" s="599" t="s">
        <v>16</v>
      </c>
      <c r="D99" s="600">
        <v>1</v>
      </c>
      <c r="E99" s="565"/>
      <c r="F99" s="640">
        <f>'Gia VT'!D58</f>
        <v>1095000</v>
      </c>
      <c r="G99" s="438"/>
      <c r="H99" s="438"/>
      <c r="I99" s="580">
        <f t="shared" si="25"/>
        <v>0</v>
      </c>
      <c r="J99" s="439">
        <f t="shared" si="26"/>
        <v>1095000</v>
      </c>
      <c r="K99" s="601">
        <f t="shared" si="27"/>
        <v>0</v>
      </c>
      <c r="L99" s="602">
        <f t="shared" si="28"/>
        <v>0</v>
      </c>
    </row>
    <row r="100" spans="1:16" ht="22.15" customHeight="1">
      <c r="A100" s="591"/>
      <c r="B100" s="592" t="s">
        <v>255</v>
      </c>
      <c r="C100" s="612" t="s">
        <v>87</v>
      </c>
      <c r="D100" s="612">
        <v>2</v>
      </c>
      <c r="E100" s="565"/>
      <c r="F100" s="439">
        <f>F91</f>
        <v>20500</v>
      </c>
      <c r="G100" s="438"/>
      <c r="H100" s="438"/>
      <c r="I100" s="580">
        <f t="shared" si="25"/>
        <v>0</v>
      </c>
      <c r="J100" s="439">
        <f t="shared" si="26"/>
        <v>41000</v>
      </c>
      <c r="K100" s="601">
        <f t="shared" si="27"/>
        <v>0</v>
      </c>
      <c r="L100" s="602">
        <f t="shared" si="28"/>
        <v>0</v>
      </c>
    </row>
    <row r="101" spans="1:16" ht="22.15" customHeight="1">
      <c r="A101" s="591"/>
      <c r="B101" s="592" t="s">
        <v>268</v>
      </c>
      <c r="C101" s="612" t="s">
        <v>87</v>
      </c>
      <c r="D101" s="612">
        <v>2</v>
      </c>
      <c r="E101" s="565"/>
      <c r="F101" s="439">
        <f>F92</f>
        <v>39000</v>
      </c>
      <c r="G101" s="438"/>
      <c r="H101" s="438"/>
      <c r="I101" s="580">
        <f t="shared" si="25"/>
        <v>0</v>
      </c>
      <c r="J101" s="439">
        <f t="shared" si="26"/>
        <v>78000</v>
      </c>
      <c r="K101" s="601">
        <f t="shared" si="27"/>
        <v>0</v>
      </c>
      <c r="L101" s="602">
        <f t="shared" si="28"/>
        <v>0</v>
      </c>
    </row>
    <row r="102" spans="1:16" ht="22.15" customHeight="1">
      <c r="A102" s="591"/>
      <c r="B102" s="592" t="s">
        <v>615</v>
      </c>
      <c r="C102" s="612" t="s">
        <v>87</v>
      </c>
      <c r="D102" s="612">
        <v>2</v>
      </c>
      <c r="E102" s="565"/>
      <c r="F102" s="439">
        <f>'Gia VT'!D114</f>
        <v>32500</v>
      </c>
      <c r="G102" s="438"/>
      <c r="H102" s="438"/>
      <c r="I102" s="580">
        <f t="shared" si="25"/>
        <v>0</v>
      </c>
      <c r="J102" s="439">
        <f t="shared" si="26"/>
        <v>65000</v>
      </c>
      <c r="K102" s="601">
        <f t="shared" si="27"/>
        <v>0</v>
      </c>
      <c r="L102" s="602">
        <f t="shared" si="28"/>
        <v>0</v>
      </c>
    </row>
    <row r="103" spans="1:16" ht="22.15" customHeight="1">
      <c r="A103" s="596"/>
      <c r="B103" s="603" t="s">
        <v>259</v>
      </c>
      <c r="C103" s="595" t="s">
        <v>87</v>
      </c>
      <c r="D103" s="588">
        <v>4</v>
      </c>
      <c r="E103" s="580"/>
      <c r="F103" s="439">
        <f>F93</f>
        <v>7200</v>
      </c>
      <c r="G103" s="438"/>
      <c r="H103" s="438"/>
      <c r="I103" s="580">
        <f t="shared" si="25"/>
        <v>0</v>
      </c>
      <c r="J103" s="439">
        <f t="shared" si="26"/>
        <v>28800</v>
      </c>
      <c r="K103" s="601">
        <f t="shared" si="27"/>
        <v>0</v>
      </c>
      <c r="L103" s="602">
        <f t="shared" si="28"/>
        <v>0</v>
      </c>
    </row>
    <row r="104" spans="1:16" ht="22.15" customHeight="1">
      <c r="A104" s="596"/>
      <c r="B104" s="603" t="s">
        <v>88</v>
      </c>
      <c r="C104" s="595" t="s">
        <v>86</v>
      </c>
      <c r="D104" s="588">
        <f>SUM(D100:D103)*2</f>
        <v>20</v>
      </c>
      <c r="E104" s="580"/>
      <c r="F104" s="439">
        <f>F94</f>
        <v>2000</v>
      </c>
      <c r="G104" s="438"/>
      <c r="H104" s="438"/>
      <c r="I104" s="580">
        <f t="shared" si="25"/>
        <v>0</v>
      </c>
      <c r="J104" s="439">
        <f t="shared" si="26"/>
        <v>40000</v>
      </c>
      <c r="K104" s="601">
        <f t="shared" si="27"/>
        <v>0</v>
      </c>
      <c r="L104" s="602">
        <f t="shared" si="28"/>
        <v>0</v>
      </c>
    </row>
    <row r="105" spans="1:16" ht="22.15" customHeight="1">
      <c r="A105" s="596" t="s">
        <v>1208</v>
      </c>
      <c r="B105" s="605" t="s">
        <v>1207</v>
      </c>
      <c r="C105" s="606" t="s">
        <v>87</v>
      </c>
      <c r="D105" s="588">
        <f>D95</f>
        <v>1</v>
      </c>
      <c r="E105" s="580"/>
      <c r="F105" s="439"/>
      <c r="G105" s="439">
        <f>1*R2*1.5*0.55*0.8</f>
        <v>226589.88000000003</v>
      </c>
      <c r="H105" s="438"/>
      <c r="I105" s="580">
        <f t="shared" si="25"/>
        <v>0</v>
      </c>
      <c r="J105" s="439">
        <f t="shared" si="26"/>
        <v>0</v>
      </c>
      <c r="K105" s="601">
        <f t="shared" si="27"/>
        <v>226589.88000000003</v>
      </c>
      <c r="L105" s="602">
        <f t="shared" si="28"/>
        <v>0</v>
      </c>
    </row>
    <row r="106" spans="1:16" ht="22.15" customHeight="1">
      <c r="A106" s="604" t="s">
        <v>272</v>
      </c>
      <c r="B106" s="605" t="s">
        <v>335</v>
      </c>
      <c r="C106" s="606" t="s">
        <v>87</v>
      </c>
      <c r="D106" s="588">
        <f>D96</f>
        <v>1</v>
      </c>
      <c r="E106" s="580"/>
      <c r="F106" s="439"/>
      <c r="G106" s="439">
        <f>2.421*R2*1.5*0.55</f>
        <v>685717.62434999994</v>
      </c>
      <c r="H106" s="438"/>
      <c r="I106" s="580">
        <f t="shared" si="25"/>
        <v>0</v>
      </c>
      <c r="J106" s="439">
        <f t="shared" si="26"/>
        <v>0</v>
      </c>
      <c r="K106" s="601">
        <f t="shared" si="27"/>
        <v>685717.62434999994</v>
      </c>
      <c r="L106" s="602">
        <f t="shared" si="28"/>
        <v>0</v>
      </c>
    </row>
    <row r="107" spans="1:16" s="738" customFormat="1" ht="22.15" customHeight="1">
      <c r="M107" s="738">
        <v>367290</v>
      </c>
      <c r="N107" s="748">
        <v>546616</v>
      </c>
      <c r="P107" s="738" t="s">
        <v>309</v>
      </c>
    </row>
    <row r="108" spans="1:16" s="745" customFormat="1" ht="22.15" customHeight="1">
      <c r="N108" s="746">
        <v>352581</v>
      </c>
      <c r="P108" s="745" t="s">
        <v>310</v>
      </c>
    </row>
    <row r="109" spans="1:16" s="745" customFormat="1" ht="22.15" customHeight="1">
      <c r="N109" s="746">
        <v>1205833</v>
      </c>
      <c r="P109" s="745" t="s">
        <v>311</v>
      </c>
    </row>
    <row r="110" spans="1:16" s="745" customFormat="1" ht="22.15" customHeight="1">
      <c r="N110" s="746">
        <v>352581</v>
      </c>
      <c r="P110" s="745" t="s">
        <v>310</v>
      </c>
    </row>
    <row r="111" spans="1:16" s="745" customFormat="1" ht="22.15" customHeight="1">
      <c r="N111" s="746">
        <v>1205833</v>
      </c>
      <c r="P111" s="745" t="s">
        <v>311</v>
      </c>
    </row>
    <row r="112" spans="1:16" ht="22.15" customHeight="1">
      <c r="N112" s="609"/>
    </row>
    <row r="113" spans="14:17" ht="22.15" customHeight="1">
      <c r="N113" s="609"/>
    </row>
    <row r="114" spans="14:17" ht="22.15" customHeight="1">
      <c r="N114" s="609"/>
      <c r="O114" s="551">
        <v>185</v>
      </c>
      <c r="P114" s="580">
        <v>592000</v>
      </c>
    </row>
    <row r="115" spans="14:17" ht="22.15" customHeight="1">
      <c r="N115" s="609"/>
      <c r="O115" s="551">
        <v>70</v>
      </c>
      <c r="P115" s="580"/>
      <c r="Q115" s="567">
        <f>O115*P114/O114</f>
        <v>224000</v>
      </c>
    </row>
    <row r="116" spans="14:17" ht="22.15" customHeight="1">
      <c r="N116" s="609"/>
    </row>
    <row r="117" spans="14:17" ht="22.15" customHeight="1">
      <c r="N117" s="609"/>
    </row>
    <row r="118" spans="14:17" ht="22.15" customHeight="1">
      <c r="N118" s="611"/>
    </row>
    <row r="119" spans="14:17" ht="22.15" customHeight="1">
      <c r="N119" s="609"/>
    </row>
    <row r="120" spans="14:17">
      <c r="N120" s="611"/>
    </row>
    <row r="121" spans="14:17" ht="22.15" customHeight="1">
      <c r="N121" s="611"/>
    </row>
    <row r="122" spans="14:17" ht="22.15" customHeight="1">
      <c r="N122" s="611"/>
    </row>
    <row r="123" spans="14:17">
      <c r="N123" s="611"/>
    </row>
    <row r="124" spans="14:17" ht="22.15" customHeight="1">
      <c r="N124" s="611"/>
    </row>
    <row r="125" spans="14:17" ht="22.15" customHeight="1">
      <c r="N125" s="611"/>
    </row>
    <row r="126" spans="14:17" ht="22.15" customHeight="1">
      <c r="N126" s="609"/>
    </row>
    <row r="127" spans="14:17" ht="22.15" customHeight="1">
      <c r="N127" s="609"/>
    </row>
    <row r="128" spans="14:17" ht="22.15" customHeight="1">
      <c r="N128" s="611"/>
    </row>
    <row r="129" spans="14:14" ht="22.15" customHeight="1">
      <c r="N129" s="609"/>
    </row>
    <row r="130" spans="14:14" ht="22.15" customHeight="1">
      <c r="N130" s="611"/>
    </row>
    <row r="131" spans="14:14" ht="22.15" customHeight="1">
      <c r="N131" s="609"/>
    </row>
    <row r="132" spans="14:14">
      <c r="N132" s="611"/>
    </row>
    <row r="133" spans="14:14" ht="22.15" customHeight="1">
      <c r="N133" s="609"/>
    </row>
    <row r="134" spans="14:14" ht="22.15" customHeight="1">
      <c r="N134" s="611"/>
    </row>
    <row r="135" spans="14:14" ht="22.15" customHeight="1">
      <c r="N135" s="609"/>
    </row>
    <row r="136" spans="14:14" ht="43.9" customHeight="1">
      <c r="N136" s="611"/>
    </row>
    <row r="137" spans="14:14" ht="22.15" customHeight="1">
      <c r="N137" s="609"/>
    </row>
    <row r="138" spans="14:14" ht="22.15" customHeight="1"/>
    <row r="139" spans="14:14" ht="22.15" customHeight="1"/>
    <row r="140" spans="14:14" ht="22.15" customHeight="1"/>
    <row r="141" spans="14:14" ht="22.15" customHeight="1"/>
    <row r="142" spans="14:14" ht="22.15" customHeight="1"/>
    <row r="143" spans="14:14" ht="22.15" customHeight="1"/>
    <row r="144" spans="14:14" ht="22.15" customHeight="1"/>
    <row r="145" spans="13:14" ht="22.15" customHeight="1"/>
    <row r="146" spans="13:14" ht="22.15" customHeight="1"/>
    <row r="147" spans="13:14" s="583" customFormat="1" ht="22.15" customHeight="1"/>
    <row r="148" spans="13:14" s="583" customFormat="1" ht="22.15" customHeight="1"/>
    <row r="149" spans="13:14" s="583" customFormat="1" ht="22.15" customHeight="1"/>
    <row r="150" spans="13:14" ht="22.15" customHeight="1">
      <c r="N150" s="611"/>
    </row>
    <row r="151" spans="13:14" ht="22.15" customHeight="1">
      <c r="N151" s="611"/>
    </row>
    <row r="152" spans="13:14" ht="22.15" customHeight="1"/>
    <row r="153" spans="13:14" ht="22.15" customHeight="1"/>
    <row r="154" spans="13:14" ht="22.15" customHeight="1">
      <c r="N154" s="611"/>
    </row>
    <row r="155" spans="13:14" ht="22.15" customHeight="1">
      <c r="N155" s="611"/>
    </row>
    <row r="156" spans="13:14" ht="22.15" customHeight="1">
      <c r="N156" s="611"/>
    </row>
    <row r="157" spans="13:14">
      <c r="N157" s="611"/>
    </row>
    <row r="158" spans="13:14" ht="18" customHeight="1">
      <c r="N158" s="611"/>
    </row>
    <row r="159" spans="13:14" ht="22.15" customHeight="1">
      <c r="N159" s="611"/>
    </row>
    <row r="160" spans="13:14">
      <c r="M160" s="641">
        <f>+'2.THOP-NC+MTC'!F59+'2.THOP-NC+MTC'!F61+'2.THOP-NC+MTC'!F63+'2.THOP-NC+MTC'!F65</f>
        <v>51</v>
      </c>
      <c r="N160" s="611">
        <f>3+6+6+6+12+6+6+6</f>
        <v>51</v>
      </c>
    </row>
    <row r="161" spans="1:14" ht="19.5" customHeight="1">
      <c r="N161" s="611"/>
    </row>
    <row r="162" spans="1:14">
      <c r="N162" s="611"/>
    </row>
    <row r="163" spans="1:14" ht="19.5" customHeight="1">
      <c r="N163" s="611"/>
    </row>
    <row r="164" spans="1:14">
      <c r="N164" s="611"/>
    </row>
    <row r="165" spans="1:14" ht="21.75" customHeight="1">
      <c r="N165" s="611"/>
    </row>
    <row r="166" spans="1:14">
      <c r="N166" s="611"/>
    </row>
    <row r="167" spans="1:14" s="738" customFormat="1" ht="19.5" customHeight="1">
      <c r="N167" s="749"/>
    </row>
    <row r="168" spans="1:14">
      <c r="A168" s="568"/>
      <c r="B168" s="569" t="s">
        <v>979</v>
      </c>
      <c r="C168" s="597" t="s">
        <v>87</v>
      </c>
      <c r="D168" s="590">
        <v>1</v>
      </c>
      <c r="E168" s="565"/>
      <c r="F168" s="439"/>
      <c r="G168" s="439"/>
      <c r="H168" s="440"/>
      <c r="I168" s="574">
        <f>SUM(I169:I177)</f>
        <v>0</v>
      </c>
      <c r="J168" s="574">
        <f>SUM(J169:J177)</f>
        <v>6628684</v>
      </c>
      <c r="K168" s="574">
        <f>SUM(K169:K177)</f>
        <v>659170.56000000006</v>
      </c>
      <c r="L168" s="602">
        <f>SUM(L169:L177)</f>
        <v>0</v>
      </c>
      <c r="N168" s="611"/>
    </row>
    <row r="169" spans="1:14" ht="30">
      <c r="A169" s="615"/>
      <c r="B169" s="592" t="s">
        <v>705</v>
      </c>
      <c r="C169" s="612" t="s">
        <v>99</v>
      </c>
      <c r="D169" s="595">
        <v>18</v>
      </c>
      <c r="E169" s="613"/>
      <c r="F169" s="439">
        <f>'Gia VT'!D303</f>
        <v>249989</v>
      </c>
      <c r="G169" s="613"/>
      <c r="H169" s="614"/>
      <c r="I169" s="580">
        <f t="shared" ref="I169:I177" si="29">+E169*D169</f>
        <v>0</v>
      </c>
      <c r="J169" s="439">
        <f t="shared" ref="J169:J177" si="30">F169*D169</f>
        <v>4499802</v>
      </c>
      <c r="K169" s="580">
        <f t="shared" ref="K169:K177" si="31">G169*D169</f>
        <v>0</v>
      </c>
      <c r="L169" s="602">
        <f t="shared" ref="L169:L177" si="32">+H169*D169</f>
        <v>0</v>
      </c>
      <c r="M169" s="551">
        <f>+D169*'2.THOP-NC+MTC'!F67</f>
        <v>306</v>
      </c>
      <c r="N169" s="551">
        <f>3+6+6+6+12+6+6+6</f>
        <v>51</v>
      </c>
    </row>
    <row r="170" spans="1:14" ht="30">
      <c r="A170" s="615"/>
      <c r="B170" s="592" t="s">
        <v>709</v>
      </c>
      <c r="C170" s="612" t="s">
        <v>99</v>
      </c>
      <c r="D170" s="595">
        <v>6</v>
      </c>
      <c r="E170" s="613"/>
      <c r="F170" s="439">
        <f>'Gia VT'!D302</f>
        <v>192727</v>
      </c>
      <c r="G170" s="613"/>
      <c r="H170" s="614"/>
      <c r="I170" s="580">
        <f t="shared" si="29"/>
        <v>0</v>
      </c>
      <c r="J170" s="439">
        <f t="shared" si="30"/>
        <v>1156362</v>
      </c>
      <c r="K170" s="580">
        <f t="shared" si="31"/>
        <v>0</v>
      </c>
      <c r="L170" s="602">
        <f t="shared" si="32"/>
        <v>0</v>
      </c>
      <c r="M170" s="551">
        <f>+D170*'2.THOP-NC+MTC'!F67</f>
        <v>102</v>
      </c>
    </row>
    <row r="171" spans="1:14" ht="22.15" customHeight="1">
      <c r="A171" s="615" t="s">
        <v>1154</v>
      </c>
      <c r="B171" s="592" t="s">
        <v>994</v>
      </c>
      <c r="C171" s="612" t="s">
        <v>99</v>
      </c>
      <c r="D171" s="595">
        <f>SUM(D169:D170)</f>
        <v>24</v>
      </c>
      <c r="E171" s="613"/>
      <c r="F171" s="439"/>
      <c r="G171" s="613">
        <f>0.08*R2</f>
        <v>27465.440000000002</v>
      </c>
      <c r="H171" s="614"/>
      <c r="I171" s="580">
        <f t="shared" si="29"/>
        <v>0</v>
      </c>
      <c r="J171" s="439">
        <f t="shared" si="30"/>
        <v>0</v>
      </c>
      <c r="K171" s="580">
        <f t="shared" si="31"/>
        <v>659170.56000000006</v>
      </c>
      <c r="L171" s="602">
        <f t="shared" si="32"/>
        <v>0</v>
      </c>
    </row>
    <row r="172" spans="1:14" s="583" customFormat="1" ht="22.15" customHeight="1">
      <c r="A172" s="568"/>
      <c r="B172" s="616" t="s">
        <v>706</v>
      </c>
      <c r="C172" s="612" t="s">
        <v>86</v>
      </c>
      <c r="D172" s="586">
        <v>2</v>
      </c>
      <c r="E172" s="613"/>
      <c r="F172" s="439">
        <f>'Gia VT'!D276</f>
        <v>155500</v>
      </c>
      <c r="G172" s="617"/>
      <c r="H172" s="618"/>
      <c r="I172" s="580">
        <f t="shared" si="29"/>
        <v>0</v>
      </c>
      <c r="J172" s="439">
        <f t="shared" si="30"/>
        <v>311000</v>
      </c>
      <c r="K172" s="580">
        <f t="shared" si="31"/>
        <v>0</v>
      </c>
      <c r="L172" s="602">
        <f t="shared" si="32"/>
        <v>0</v>
      </c>
    </row>
    <row r="173" spans="1:14" ht="22.15" customHeight="1">
      <c r="A173" s="568"/>
      <c r="B173" s="592" t="s">
        <v>707</v>
      </c>
      <c r="C173" s="612" t="s">
        <v>86</v>
      </c>
      <c r="D173" s="595">
        <v>2</v>
      </c>
      <c r="E173" s="565"/>
      <c r="F173" s="439">
        <f>'Gia VT'!D275</f>
        <v>137500</v>
      </c>
      <c r="G173" s="439"/>
      <c r="H173" s="439"/>
      <c r="I173" s="580">
        <f t="shared" si="29"/>
        <v>0</v>
      </c>
      <c r="J173" s="439">
        <f t="shared" si="30"/>
        <v>275000</v>
      </c>
      <c r="K173" s="580">
        <f t="shared" si="31"/>
        <v>0</v>
      </c>
      <c r="L173" s="602">
        <f t="shared" si="32"/>
        <v>0</v>
      </c>
      <c r="N173" s="611"/>
    </row>
    <row r="174" spans="1:14" ht="45">
      <c r="A174" s="568"/>
      <c r="B174" s="592" t="s">
        <v>708</v>
      </c>
      <c r="C174" s="612" t="s">
        <v>86</v>
      </c>
      <c r="D174" s="595">
        <v>6</v>
      </c>
      <c r="E174" s="565"/>
      <c r="F174" s="439">
        <f>'Gia VT'!D293</f>
        <v>34100</v>
      </c>
      <c r="G174" s="439"/>
      <c r="H174" s="439"/>
      <c r="I174" s="580">
        <f t="shared" si="29"/>
        <v>0</v>
      </c>
      <c r="J174" s="439">
        <f t="shared" si="30"/>
        <v>204600</v>
      </c>
      <c r="K174" s="580">
        <f t="shared" si="31"/>
        <v>0</v>
      </c>
      <c r="L174" s="602">
        <f t="shared" si="32"/>
        <v>0</v>
      </c>
      <c r="N174" s="611"/>
    </row>
    <row r="175" spans="1:14" ht="45">
      <c r="A175" s="568"/>
      <c r="B175" s="592" t="s">
        <v>710</v>
      </c>
      <c r="C175" s="612" t="s">
        <v>86</v>
      </c>
      <c r="D175" s="595">
        <v>2</v>
      </c>
      <c r="E175" s="565"/>
      <c r="F175" s="439">
        <f>'Gia VT'!D292</f>
        <v>25960</v>
      </c>
      <c r="G175" s="439"/>
      <c r="H175" s="439"/>
      <c r="I175" s="580">
        <f t="shared" si="29"/>
        <v>0</v>
      </c>
      <c r="J175" s="439">
        <f t="shared" si="30"/>
        <v>51920</v>
      </c>
      <c r="K175" s="580">
        <f t="shared" si="31"/>
        <v>0</v>
      </c>
      <c r="L175" s="602">
        <f t="shared" si="32"/>
        <v>0</v>
      </c>
      <c r="N175" s="611"/>
    </row>
    <row r="176" spans="1:14" ht="22.15" customHeight="1">
      <c r="A176" s="568"/>
      <c r="B176" s="592" t="s">
        <v>711</v>
      </c>
      <c r="C176" s="612" t="s">
        <v>86</v>
      </c>
      <c r="D176" s="595">
        <v>3</v>
      </c>
      <c r="E176" s="565"/>
      <c r="F176" s="439">
        <f>'Gia VT'!D273</f>
        <v>35000</v>
      </c>
      <c r="G176" s="439"/>
      <c r="H176" s="439"/>
      <c r="I176" s="580">
        <f t="shared" si="29"/>
        <v>0</v>
      </c>
      <c r="J176" s="439">
        <f t="shared" si="30"/>
        <v>105000</v>
      </c>
      <c r="K176" s="580">
        <f t="shared" si="31"/>
        <v>0</v>
      </c>
      <c r="L176" s="602">
        <f t="shared" si="32"/>
        <v>0</v>
      </c>
      <c r="N176" s="611"/>
    </row>
    <row r="177" spans="1:14" ht="22.15" customHeight="1">
      <c r="A177" s="568"/>
      <c r="B177" s="592" t="s">
        <v>712</v>
      </c>
      <c r="C177" s="612" t="s">
        <v>86</v>
      </c>
      <c r="D177" s="595">
        <v>1</v>
      </c>
      <c r="E177" s="565"/>
      <c r="F177" s="439">
        <f>'Gia VT'!D274</f>
        <v>25000</v>
      </c>
      <c r="G177" s="439"/>
      <c r="H177" s="439"/>
      <c r="I177" s="580">
        <f t="shared" si="29"/>
        <v>0</v>
      </c>
      <c r="J177" s="439">
        <f t="shared" si="30"/>
        <v>25000</v>
      </c>
      <c r="K177" s="580">
        <f t="shared" si="31"/>
        <v>0</v>
      </c>
      <c r="L177" s="602">
        <f t="shared" si="32"/>
        <v>0</v>
      </c>
      <c r="N177" s="611"/>
    </row>
    <row r="178" spans="1:14" s="583" customFormat="1" ht="22.15" customHeight="1">
      <c r="N178" s="583">
        <v>757610</v>
      </c>
    </row>
    <row r="179" spans="1:14" s="738" customFormat="1" ht="22.15" customHeight="1">
      <c r="M179" s="738">
        <f>12+24+24+24+24+24</f>
        <v>132</v>
      </c>
      <c r="N179" s="738">
        <v>1135756</v>
      </c>
    </row>
    <row r="180" spans="1:14" s="690" customFormat="1" ht="22.15" customHeight="1">
      <c r="M180" s="690">
        <f>4+8+8+8+8+8</f>
        <v>44</v>
      </c>
    </row>
    <row r="181" spans="1:14" s="737" customFormat="1" ht="22.15" customHeight="1">
      <c r="M181" s="737">
        <f>24+48</f>
        <v>72</v>
      </c>
      <c r="N181" s="737">
        <v>1135756</v>
      </c>
    </row>
    <row r="182" spans="1:14" s="690" customFormat="1" ht="22.15" customHeight="1">
      <c r="M182" s="690">
        <f>8+16</f>
        <v>24</v>
      </c>
    </row>
    <row r="183" spans="1:14" ht="22.15" customHeight="1"/>
    <row r="184" spans="1:14" ht="22.15" customHeight="1"/>
    <row r="185" spans="1:14" ht="22.15" customHeight="1">
      <c r="M185" s="551" t="s">
        <v>241</v>
      </c>
      <c r="N185" s="551">
        <v>2225101</v>
      </c>
    </row>
    <row r="186" spans="1:14" ht="22.15" customHeight="1"/>
    <row r="187" spans="1:14">
      <c r="M187" s="551">
        <f>3+1+2+20+7+2+4+18+6</f>
        <v>63</v>
      </c>
    </row>
    <row r="188" spans="1:14" ht="33.6" customHeight="1"/>
    <row r="189" spans="1:14" ht="33.6" customHeight="1"/>
    <row r="190" spans="1:14" ht="33.6" customHeight="1"/>
    <row r="191" spans="1:14" ht="33.6" customHeight="1"/>
    <row r="192" spans="1:14" ht="33.6" customHeight="1"/>
    <row r="193" spans="13:13" ht="22.15" customHeight="1">
      <c r="M193" s="551">
        <f>24+18</f>
        <v>42</v>
      </c>
    </row>
    <row r="194" spans="13:13" ht="22.15" customHeight="1">
      <c r="M194" s="551">
        <f>78+6+33</f>
        <v>117</v>
      </c>
    </row>
    <row r="195" spans="13:13" ht="22.15" customHeight="1">
      <c r="M195" s="551">
        <f>22+7+24+1</f>
        <v>54</v>
      </c>
    </row>
    <row r="196" spans="13:13" ht="33.75" customHeight="1"/>
    <row r="197" spans="13:13" ht="33.75" customHeight="1"/>
    <row r="198" spans="13:13" ht="22.15" customHeight="1"/>
    <row r="199" spans="13:13" ht="22.15" customHeight="1"/>
    <row r="200" spans="13:13" ht="22.15" customHeight="1"/>
    <row r="201" spans="13:13" ht="22.15" customHeight="1"/>
    <row r="202" spans="13:13" ht="22.15" customHeight="1"/>
    <row r="203" spans="13:13" ht="22.15" customHeight="1"/>
    <row r="204" spans="13:13" s="690" customFormat="1" ht="22.15" customHeight="1"/>
    <row r="205" spans="13:13" s="690" customFormat="1" ht="22.15" customHeight="1"/>
    <row r="206" spans="13:13" s="690" customFormat="1" ht="22.15" customHeight="1"/>
    <row r="207" spans="13:13" s="690" customFormat="1" ht="22.15" customHeight="1"/>
    <row r="208" spans="13:13" s="583" customFormat="1" ht="22.15" customHeight="1"/>
    <row r="209" spans="1:18">
      <c r="M209" s="551">
        <f>3+6+6+6+12+6+6+6+3</f>
        <v>54</v>
      </c>
    </row>
    <row r="210" spans="1:18" ht="22.15" customHeight="1"/>
    <row r="211" spans="1:18" ht="22.15" customHeight="1"/>
    <row r="212" spans="1:18" s="583" customFormat="1" ht="22.15" customHeight="1"/>
    <row r="213" spans="1:18" ht="36.6" customHeight="1"/>
    <row r="214" spans="1:18" s="583" customFormat="1" ht="22.15" customHeight="1">
      <c r="M214" s="583" t="s">
        <v>246</v>
      </c>
      <c r="N214" s="620">
        <v>1709963</v>
      </c>
    </row>
    <row r="215" spans="1:18" ht="22.15" customHeight="1">
      <c r="A215" s="939" t="s">
        <v>284</v>
      </c>
      <c r="B215" s="940"/>
      <c r="C215" s="612"/>
      <c r="D215" s="612"/>
      <c r="E215" s="565"/>
      <c r="F215" s="565"/>
      <c r="G215" s="438"/>
      <c r="H215" s="565"/>
      <c r="I215" s="565"/>
      <c r="J215" s="565"/>
      <c r="K215" s="439"/>
      <c r="L215" s="566"/>
    </row>
    <row r="216" spans="1:18" ht="22.15" customHeight="1">
      <c r="A216" s="939" t="s">
        <v>285</v>
      </c>
      <c r="B216" s="940"/>
      <c r="C216" s="612"/>
      <c r="D216" s="612"/>
      <c r="E216" s="565"/>
      <c r="F216" s="565"/>
      <c r="G216" s="438"/>
      <c r="H216" s="565"/>
      <c r="I216" s="565"/>
      <c r="J216" s="565"/>
      <c r="K216" s="565"/>
      <c r="L216" s="566"/>
    </row>
    <row r="217" spans="1:18" ht="22.15" hidden="1" customHeight="1">
      <c r="A217" s="568" t="s">
        <v>40</v>
      </c>
      <c r="B217" s="569" t="s">
        <v>577</v>
      </c>
      <c r="C217" s="597" t="s">
        <v>576</v>
      </c>
      <c r="D217" s="610">
        <f>'TK TBA'!C16</f>
        <v>0</v>
      </c>
      <c r="E217" s="565"/>
      <c r="F217" s="565"/>
      <c r="G217" s="438"/>
      <c r="H217" s="565"/>
      <c r="I217" s="440">
        <f>SUM(I218:I219)</f>
        <v>0</v>
      </c>
      <c r="J217" s="440">
        <f>SUM(J218:J219)</f>
        <v>0</v>
      </c>
      <c r="K217" s="440">
        <f>SUM(K218:K219)</f>
        <v>0</v>
      </c>
      <c r="L217" s="621">
        <f>SUM(L218:L219)</f>
        <v>0</v>
      </c>
      <c r="M217" s="344"/>
      <c r="R217" s="567"/>
    </row>
    <row r="218" spans="1:18" ht="39" hidden="1" customHeight="1">
      <c r="A218" s="615" t="s">
        <v>563</v>
      </c>
      <c r="B218" s="593" t="s">
        <v>567</v>
      </c>
      <c r="C218" s="612" t="s">
        <v>564</v>
      </c>
      <c r="D218" s="588"/>
      <c r="E218" s="565"/>
      <c r="F218" s="439"/>
      <c r="G218" s="622">
        <f>1.09*M8</f>
        <v>0</v>
      </c>
      <c r="H218" s="565"/>
      <c r="I218" s="439">
        <f>E218*D218</f>
        <v>0</v>
      </c>
      <c r="J218" s="439">
        <f>F218*D218</f>
        <v>0</v>
      </c>
      <c r="K218" s="439">
        <f>G218*D218</f>
        <v>0</v>
      </c>
      <c r="L218" s="589">
        <f>H218*D218</f>
        <v>0</v>
      </c>
    </row>
    <row r="219" spans="1:18" ht="39.6" hidden="1" customHeight="1">
      <c r="A219" s="623" t="s">
        <v>568</v>
      </c>
      <c r="B219" s="593" t="s">
        <v>569</v>
      </c>
      <c r="C219" s="612" t="s">
        <v>564</v>
      </c>
      <c r="D219" s="588"/>
      <c r="E219" s="565"/>
      <c r="F219" s="439"/>
      <c r="G219" s="622">
        <f>(5.39/100)*M8</f>
        <v>0</v>
      </c>
      <c r="H219" s="622">
        <f>(3.35/100)*Q220</f>
        <v>12378.551500000001</v>
      </c>
      <c r="I219" s="439">
        <f>E219*D219</f>
        <v>0</v>
      </c>
      <c r="J219" s="439">
        <f>F219*D219</f>
        <v>0</v>
      </c>
      <c r="K219" s="439">
        <f>G219*D219</f>
        <v>0</v>
      </c>
      <c r="L219" s="589">
        <f>H219*D219</f>
        <v>0</v>
      </c>
    </row>
    <row r="220" spans="1:18" ht="22.15" hidden="1" customHeight="1">
      <c r="A220" s="570" t="s">
        <v>41</v>
      </c>
      <c r="B220" s="571" t="s">
        <v>565</v>
      </c>
      <c r="C220" s="612"/>
      <c r="D220" s="612"/>
      <c r="E220" s="565"/>
      <c r="F220" s="613"/>
      <c r="G220" s="438"/>
      <c r="H220" s="565"/>
      <c r="I220" s="440">
        <f>SUM(I222:I227)</f>
        <v>0</v>
      </c>
      <c r="J220" s="440">
        <f>SUM(J222:J227)</f>
        <v>0</v>
      </c>
      <c r="K220" s="440">
        <f>SUM(K222:K227)</f>
        <v>0</v>
      </c>
      <c r="L220" s="621">
        <f>SUM(L222:L227)</f>
        <v>0</v>
      </c>
      <c r="O220" s="551" t="s">
        <v>570</v>
      </c>
      <c r="Q220" s="439">
        <v>369509</v>
      </c>
    </row>
    <row r="221" spans="1:18" ht="22.15" hidden="1" customHeight="1">
      <c r="A221" s="570"/>
      <c r="B221" s="571" t="s">
        <v>575</v>
      </c>
      <c r="C221" s="597" t="s">
        <v>87</v>
      </c>
      <c r="D221" s="610">
        <f>'TK TBA'!C16</f>
        <v>0</v>
      </c>
      <c r="E221" s="565"/>
      <c r="F221" s="613"/>
      <c r="G221" s="438"/>
      <c r="H221" s="565"/>
      <c r="I221" s="440"/>
      <c r="J221" s="440"/>
      <c r="K221" s="440"/>
      <c r="L221" s="621"/>
    </row>
    <row r="222" spans="1:18" ht="22.15" hidden="1" customHeight="1">
      <c r="A222" s="576"/>
      <c r="B222" s="587" t="s">
        <v>578</v>
      </c>
      <c r="C222" s="612" t="s">
        <v>168</v>
      </c>
      <c r="D222" s="588">
        <f>D221*6</f>
        <v>0</v>
      </c>
      <c r="E222" s="565"/>
      <c r="F222" s="439">
        <v>127000</v>
      </c>
      <c r="G222" s="438"/>
      <c r="H222" s="565"/>
      <c r="I222" s="439">
        <f t="shared" ref="I222:I227" si="33">E222*D222</f>
        <v>0</v>
      </c>
      <c r="J222" s="439">
        <f t="shared" ref="J222:J227" si="34">F222*D222</f>
        <v>0</v>
      </c>
      <c r="K222" s="439">
        <f t="shared" ref="K222:K227" si="35">G222*D222</f>
        <v>0</v>
      </c>
      <c r="L222" s="589">
        <f t="shared" ref="L222:L227" si="36">H222*D222</f>
        <v>0</v>
      </c>
    </row>
    <row r="223" spans="1:18" ht="22.15" hidden="1" customHeight="1">
      <c r="A223" s="576"/>
      <c r="B223" s="587" t="s">
        <v>579</v>
      </c>
      <c r="C223" s="612" t="s">
        <v>89</v>
      </c>
      <c r="D223" s="588">
        <f>15*D221*0.224</f>
        <v>0</v>
      </c>
      <c r="E223" s="565"/>
      <c r="F223" s="439">
        <v>280000</v>
      </c>
      <c r="G223" s="614"/>
      <c r="H223" s="565"/>
      <c r="I223" s="439">
        <f t="shared" si="33"/>
        <v>0</v>
      </c>
      <c r="J223" s="439">
        <f t="shared" si="34"/>
        <v>0</v>
      </c>
      <c r="K223" s="439">
        <f t="shared" si="35"/>
        <v>0</v>
      </c>
      <c r="L223" s="589">
        <f t="shared" si="36"/>
        <v>0</v>
      </c>
      <c r="O223" s="551">
        <f>15*0.224</f>
        <v>3.36</v>
      </c>
      <c r="Q223" s="551">
        <f>55*0.224</f>
        <v>12.32</v>
      </c>
    </row>
    <row r="224" spans="1:18" ht="22.15" hidden="1" customHeight="1">
      <c r="A224" s="576"/>
      <c r="B224" s="587" t="s">
        <v>574</v>
      </c>
      <c r="C224" s="612" t="s">
        <v>86</v>
      </c>
      <c r="D224" s="588">
        <f>D221*2</f>
        <v>0</v>
      </c>
      <c r="E224" s="565"/>
      <c r="F224" s="439">
        <v>32500</v>
      </c>
      <c r="G224" s="614"/>
      <c r="H224" s="565"/>
      <c r="I224" s="439">
        <f t="shared" si="33"/>
        <v>0</v>
      </c>
      <c r="J224" s="439">
        <f t="shared" si="34"/>
        <v>0</v>
      </c>
      <c r="K224" s="439">
        <f t="shared" si="35"/>
        <v>0</v>
      </c>
      <c r="L224" s="589">
        <f t="shared" si="36"/>
        <v>0</v>
      </c>
    </row>
    <row r="225" spans="1:19" ht="22.15" hidden="1" customHeight="1">
      <c r="A225" s="576"/>
      <c r="B225" s="587" t="s">
        <v>554</v>
      </c>
      <c r="C225" s="612" t="s">
        <v>86</v>
      </c>
      <c r="D225" s="588">
        <f>D221*2</f>
        <v>0</v>
      </c>
      <c r="E225" s="565"/>
      <c r="F225" s="439">
        <v>7200</v>
      </c>
      <c r="G225" s="438"/>
      <c r="H225" s="565"/>
      <c r="I225" s="439">
        <f t="shared" si="33"/>
        <v>0</v>
      </c>
      <c r="J225" s="439">
        <f t="shared" si="34"/>
        <v>0</v>
      </c>
      <c r="K225" s="439">
        <f t="shared" si="35"/>
        <v>0</v>
      </c>
      <c r="L225" s="589">
        <f t="shared" si="36"/>
        <v>0</v>
      </c>
    </row>
    <row r="226" spans="1:19" ht="22.15" hidden="1" customHeight="1">
      <c r="A226" s="576" t="s">
        <v>561</v>
      </c>
      <c r="B226" s="593" t="s">
        <v>559</v>
      </c>
      <c r="C226" s="612" t="s">
        <v>168</v>
      </c>
      <c r="D226" s="588">
        <f>+D222</f>
        <v>0</v>
      </c>
      <c r="E226" s="565"/>
      <c r="F226" s="439"/>
      <c r="G226" s="622">
        <f>(2.5/10)*0.8*N226</f>
        <v>53781.8</v>
      </c>
      <c r="H226" s="622"/>
      <c r="I226" s="439">
        <f t="shared" si="33"/>
        <v>0</v>
      </c>
      <c r="J226" s="439">
        <f t="shared" si="34"/>
        <v>0</v>
      </c>
      <c r="K226" s="439">
        <f t="shared" si="35"/>
        <v>0</v>
      </c>
      <c r="L226" s="589">
        <f t="shared" si="36"/>
        <v>0</v>
      </c>
      <c r="N226" s="338">
        <v>268909</v>
      </c>
      <c r="O226" s="551" t="s">
        <v>571</v>
      </c>
      <c r="R226" s="338">
        <v>351390</v>
      </c>
      <c r="S226" s="551" t="s">
        <v>239</v>
      </c>
    </row>
    <row r="227" spans="1:19" ht="22.15" hidden="1" customHeight="1">
      <c r="A227" s="623" t="s">
        <v>580</v>
      </c>
      <c r="B227" s="593" t="s">
        <v>560</v>
      </c>
      <c r="C227" s="612" t="s">
        <v>99</v>
      </c>
      <c r="D227" s="588">
        <f>15*D221</f>
        <v>0</v>
      </c>
      <c r="E227" s="565"/>
      <c r="F227" s="439"/>
      <c r="G227" s="622">
        <f>(0.36/10)*Q3*0.55</f>
        <v>0</v>
      </c>
      <c r="H227" s="622">
        <f>(0.065/10)*R226*0.55</f>
        <v>1256.2192500000003</v>
      </c>
      <c r="I227" s="439">
        <f t="shared" si="33"/>
        <v>0</v>
      </c>
      <c r="J227" s="439">
        <f t="shared" si="34"/>
        <v>0</v>
      </c>
      <c r="K227" s="439">
        <f t="shared" si="35"/>
        <v>0</v>
      </c>
      <c r="L227" s="589">
        <f t="shared" si="36"/>
        <v>0</v>
      </c>
    </row>
    <row r="228" spans="1:19" s="583" customFormat="1" ht="22.15" customHeight="1">
      <c r="A228" s="570" t="s">
        <v>45</v>
      </c>
      <c r="B228" s="571" t="s">
        <v>271</v>
      </c>
      <c r="C228" s="597"/>
      <c r="D228" s="597"/>
      <c r="E228" s="617"/>
      <c r="F228" s="619"/>
      <c r="G228" s="441"/>
      <c r="H228" s="617"/>
      <c r="I228" s="440"/>
      <c r="J228" s="440"/>
      <c r="K228" s="440"/>
      <c r="L228" s="621"/>
      <c r="N228" s="624">
        <f>(0.29/10)*N226</f>
        <v>7798.3609999999999</v>
      </c>
      <c r="O228" s="624" t="e">
        <f>(0.065/10)*#REF!</f>
        <v>#REF!</v>
      </c>
    </row>
    <row r="229" spans="1:19" ht="22.15" customHeight="1">
      <c r="A229" s="1003" t="s">
        <v>506</v>
      </c>
      <c r="B229" s="1004"/>
      <c r="C229" s="612"/>
      <c r="D229" s="612"/>
      <c r="E229" s="565"/>
      <c r="F229" s="613"/>
      <c r="G229" s="438"/>
      <c r="H229" s="565"/>
      <c r="I229" s="440"/>
      <c r="J229" s="440"/>
      <c r="K229" s="440"/>
      <c r="L229" s="621"/>
    </row>
    <row r="230" spans="1:19" ht="22.15" customHeight="1">
      <c r="A230" s="939" t="s">
        <v>562</v>
      </c>
      <c r="B230" s="940"/>
      <c r="C230" s="612"/>
      <c r="D230" s="612"/>
      <c r="E230" s="565"/>
      <c r="F230" s="565"/>
      <c r="G230" s="438"/>
      <c r="H230" s="565"/>
      <c r="I230" s="565"/>
      <c r="J230" s="565"/>
      <c r="K230" s="439"/>
      <c r="L230" s="566"/>
    </row>
    <row r="231" spans="1:19" ht="22.15" customHeight="1">
      <c r="A231" s="939" t="s">
        <v>285</v>
      </c>
      <c r="B231" s="940"/>
      <c r="C231" s="612"/>
      <c r="D231" s="612"/>
      <c r="E231" s="565"/>
      <c r="F231" s="565"/>
      <c r="G231" s="438"/>
      <c r="H231" s="565"/>
      <c r="I231" s="565"/>
      <c r="J231" s="565"/>
      <c r="K231" s="565"/>
      <c r="L231" s="566"/>
    </row>
    <row r="232" spans="1:19" ht="22.15" customHeight="1">
      <c r="A232" s="568" t="s">
        <v>40</v>
      </c>
      <c r="B232" s="569" t="s">
        <v>252</v>
      </c>
      <c r="C232" s="612"/>
      <c r="D232" s="612"/>
      <c r="E232" s="565"/>
      <c r="F232" s="565"/>
      <c r="G232" s="438"/>
      <c r="H232" s="565"/>
      <c r="I232" s="440"/>
      <c r="J232" s="440"/>
      <c r="K232" s="440"/>
      <c r="L232" s="621"/>
    </row>
    <row r="233" spans="1:19" ht="22.15" customHeight="1">
      <c r="A233" s="570" t="s">
        <v>253</v>
      </c>
      <c r="B233" s="571" t="s">
        <v>878</v>
      </c>
      <c r="C233" s="572" t="s">
        <v>591</v>
      </c>
      <c r="D233" s="573">
        <v>1</v>
      </c>
      <c r="E233" s="565"/>
      <c r="F233" s="565"/>
      <c r="G233" s="438"/>
      <c r="H233" s="565"/>
      <c r="I233" s="574">
        <f>SUM(I234:I241)</f>
        <v>840590.88351000007</v>
      </c>
      <c r="J233" s="574">
        <f>SUM(J234:J241)</f>
        <v>0</v>
      </c>
      <c r="K233" s="574">
        <f>SUM(K234:K241)</f>
        <v>463855.2753000001</v>
      </c>
      <c r="L233" s="575">
        <f>SUM(L234:L241)</f>
        <v>46446.081385999998</v>
      </c>
    </row>
    <row r="234" spans="1:19" ht="22.15" customHeight="1">
      <c r="A234" s="576"/>
      <c r="B234" s="577" t="s">
        <v>599</v>
      </c>
      <c r="C234" s="578" t="s">
        <v>89</v>
      </c>
      <c r="D234" s="579">
        <v>211.20500000000001</v>
      </c>
      <c r="E234" s="439">
        <f>E12</f>
        <v>1472.222</v>
      </c>
      <c r="F234" s="439"/>
      <c r="G234" s="438"/>
      <c r="H234" s="565"/>
      <c r="I234" s="439">
        <f t="shared" ref="I234:I241" si="37">D234*E234</f>
        <v>310940.64751000004</v>
      </c>
      <c r="J234" s="439">
        <f t="shared" ref="J234:J241" si="38">D234*F234</f>
        <v>0</v>
      </c>
      <c r="K234" s="580">
        <f t="shared" ref="K234:K241" si="39">G234*D234</f>
        <v>0</v>
      </c>
      <c r="L234" s="581">
        <f t="shared" ref="L234:L241" si="40">+H234*D234</f>
        <v>0</v>
      </c>
    </row>
    <row r="235" spans="1:19" ht="22.15" customHeight="1">
      <c r="A235" s="576"/>
      <c r="B235" s="577" t="s">
        <v>600</v>
      </c>
      <c r="C235" s="578" t="s">
        <v>91</v>
      </c>
      <c r="D235" s="579">
        <v>0.67400000000000004</v>
      </c>
      <c r="E235" s="439">
        <f>E13</f>
        <v>386784</v>
      </c>
      <c r="F235" s="439"/>
      <c r="G235" s="438"/>
      <c r="H235" s="565"/>
      <c r="I235" s="439">
        <f t="shared" si="37"/>
        <v>260692.41600000003</v>
      </c>
      <c r="J235" s="439">
        <f t="shared" si="38"/>
        <v>0</v>
      </c>
      <c r="K235" s="580">
        <f t="shared" si="39"/>
        <v>0</v>
      </c>
      <c r="L235" s="581">
        <f t="shared" si="40"/>
        <v>0</v>
      </c>
    </row>
    <row r="236" spans="1:19" ht="22.15" customHeight="1">
      <c r="A236" s="576"/>
      <c r="B236" s="577" t="s">
        <v>592</v>
      </c>
      <c r="C236" s="578" t="s">
        <v>91</v>
      </c>
      <c r="D236" s="579">
        <v>0.40899999999999997</v>
      </c>
      <c r="E236" s="439">
        <f>E14</f>
        <v>240000</v>
      </c>
      <c r="F236" s="439"/>
      <c r="G236" s="438"/>
      <c r="H236" s="565"/>
      <c r="I236" s="439">
        <f t="shared" si="37"/>
        <v>98160</v>
      </c>
      <c r="J236" s="439">
        <f t="shared" si="38"/>
        <v>0</v>
      </c>
      <c r="K236" s="580">
        <f t="shared" si="39"/>
        <v>0</v>
      </c>
      <c r="L236" s="581">
        <f t="shared" si="40"/>
        <v>0</v>
      </c>
    </row>
    <row r="237" spans="1:19" ht="22.15" customHeight="1">
      <c r="A237" s="576"/>
      <c r="B237" s="577" t="s">
        <v>593</v>
      </c>
      <c r="C237" s="578" t="s">
        <v>91</v>
      </c>
      <c r="D237" s="579">
        <v>5.5E-2</v>
      </c>
      <c r="E237" s="439">
        <f>E15</f>
        <v>3078324</v>
      </c>
      <c r="F237" s="439"/>
      <c r="G237" s="438"/>
      <c r="H237" s="565"/>
      <c r="I237" s="439">
        <f t="shared" si="37"/>
        <v>169307.82</v>
      </c>
      <c r="J237" s="439">
        <f t="shared" si="38"/>
        <v>0</v>
      </c>
      <c r="K237" s="580">
        <f t="shared" si="39"/>
        <v>0</v>
      </c>
      <c r="L237" s="581">
        <f t="shared" si="40"/>
        <v>0</v>
      </c>
    </row>
    <row r="238" spans="1:19" ht="22.15" customHeight="1">
      <c r="A238" s="576"/>
      <c r="B238" s="577" t="s">
        <v>594</v>
      </c>
      <c r="C238" s="578" t="s">
        <v>91</v>
      </c>
      <c r="D238" s="579">
        <v>0.14899999999999999</v>
      </c>
      <c r="E238" s="439">
        <f>E16</f>
        <v>10000</v>
      </c>
      <c r="F238" s="439"/>
      <c r="G238" s="438"/>
      <c r="H238" s="565"/>
      <c r="I238" s="439">
        <f t="shared" si="37"/>
        <v>1490</v>
      </c>
      <c r="J238" s="439">
        <f t="shared" si="38"/>
        <v>0</v>
      </c>
      <c r="K238" s="580">
        <f t="shared" si="39"/>
        <v>0</v>
      </c>
      <c r="L238" s="581">
        <f t="shared" si="40"/>
        <v>0</v>
      </c>
    </row>
    <row r="239" spans="1:19" ht="22.15" customHeight="1">
      <c r="A239" s="576" t="s">
        <v>595</v>
      </c>
      <c r="B239" s="577" t="s">
        <v>596</v>
      </c>
      <c r="C239" s="578" t="s">
        <v>91</v>
      </c>
      <c r="D239" s="579">
        <v>0.88</v>
      </c>
      <c r="E239" s="439"/>
      <c r="F239" s="439"/>
      <c r="G239" s="439">
        <f>G17</f>
        <v>241768.80000000002</v>
      </c>
      <c r="H239" s="439"/>
      <c r="I239" s="439">
        <f t="shared" si="37"/>
        <v>0</v>
      </c>
      <c r="J239" s="439">
        <f t="shared" si="38"/>
        <v>0</v>
      </c>
      <c r="K239" s="580">
        <f t="shared" si="39"/>
        <v>212756.54400000002</v>
      </c>
      <c r="L239" s="581">
        <f t="shared" si="40"/>
        <v>0</v>
      </c>
    </row>
    <row r="240" spans="1:19" ht="22.15" customHeight="1">
      <c r="A240" s="576" t="s">
        <v>597</v>
      </c>
      <c r="B240" s="577" t="s">
        <v>601</v>
      </c>
      <c r="C240" s="578" t="s">
        <v>91</v>
      </c>
      <c r="D240" s="579">
        <v>4.2000000000000003E-2</v>
      </c>
      <c r="E240" s="439"/>
      <c r="F240" s="439"/>
      <c r="G240" s="439">
        <f>G18</f>
        <v>130183.20000000001</v>
      </c>
      <c r="H240" s="439"/>
      <c r="I240" s="439">
        <f t="shared" si="37"/>
        <v>0</v>
      </c>
      <c r="J240" s="439">
        <f t="shared" si="38"/>
        <v>0</v>
      </c>
      <c r="K240" s="580">
        <f t="shared" si="39"/>
        <v>5467.6944000000012</v>
      </c>
      <c r="L240" s="581">
        <f t="shared" si="40"/>
        <v>0</v>
      </c>
    </row>
    <row r="241" spans="1:19" ht="22.15" customHeight="1">
      <c r="A241" s="576" t="s">
        <v>235</v>
      </c>
      <c r="B241" s="577" t="s">
        <v>598</v>
      </c>
      <c r="C241" s="578" t="s">
        <v>91</v>
      </c>
      <c r="D241" s="579">
        <v>0.76600000000000001</v>
      </c>
      <c r="E241" s="439"/>
      <c r="F241" s="439"/>
      <c r="G241" s="439">
        <f>G19</f>
        <v>320667.15000000002</v>
      </c>
      <c r="H241" s="439">
        <f>H19</f>
        <v>60634.570999999996</v>
      </c>
      <c r="I241" s="439">
        <f t="shared" si="37"/>
        <v>0</v>
      </c>
      <c r="J241" s="439">
        <f t="shared" si="38"/>
        <v>0</v>
      </c>
      <c r="K241" s="580">
        <f t="shared" si="39"/>
        <v>245631.03690000004</v>
      </c>
      <c r="L241" s="581">
        <f t="shared" si="40"/>
        <v>46446.081385999998</v>
      </c>
      <c r="S241" s="583"/>
    </row>
    <row r="242" spans="1:19" s="583" customFormat="1" ht="22.15" customHeight="1">
      <c r="A242" s="570" t="s">
        <v>590</v>
      </c>
      <c r="B242" s="584" t="s">
        <v>1025</v>
      </c>
      <c r="C242" s="585" t="s">
        <v>51</v>
      </c>
      <c r="D242" s="573">
        <v>1</v>
      </c>
      <c r="E242" s="440"/>
      <c r="F242" s="440"/>
      <c r="G242" s="440"/>
      <c r="H242" s="440"/>
      <c r="I242" s="440">
        <f>SUM(I243:I251)</f>
        <v>0</v>
      </c>
      <c r="J242" s="440">
        <f>SUM(J243:J251)</f>
        <v>781308.8</v>
      </c>
      <c r="K242" s="440">
        <f>SUM(K243:K251)</f>
        <v>203590.13800000001</v>
      </c>
      <c r="L242" s="575">
        <f>SUM(L243:L251)</f>
        <v>2005.4749999999999</v>
      </c>
    </row>
    <row r="243" spans="1:19" ht="30">
      <c r="A243" s="576"/>
      <c r="B243" s="577" t="s">
        <v>663</v>
      </c>
      <c r="C243" s="578" t="s">
        <v>622</v>
      </c>
      <c r="D243" s="586">
        <v>1</v>
      </c>
      <c r="E243" s="439"/>
      <c r="F243" s="439">
        <f>F31</f>
        <v>371300</v>
      </c>
      <c r="G243" s="439"/>
      <c r="H243" s="439"/>
      <c r="I243" s="439">
        <f t="shared" ref="I243:I251" si="41">D243*E243</f>
        <v>0</v>
      </c>
      <c r="J243" s="439">
        <f t="shared" ref="J243:J251" si="42">D243*F243</f>
        <v>371300</v>
      </c>
      <c r="K243" s="580">
        <f t="shared" ref="K243:K251" si="43">G243*D243</f>
        <v>0</v>
      </c>
      <c r="L243" s="581">
        <f t="shared" ref="L243:L251" si="44">+H243*D243</f>
        <v>0</v>
      </c>
      <c r="S243" s="583"/>
    </row>
    <row r="244" spans="1:19" ht="22.15" customHeight="1">
      <c r="A244" s="576"/>
      <c r="B244" s="577" t="s">
        <v>1024</v>
      </c>
      <c r="C244" s="578" t="s">
        <v>89</v>
      </c>
      <c r="D244" s="586">
        <f>4*0.224</f>
        <v>0.89600000000000002</v>
      </c>
      <c r="E244" s="439"/>
      <c r="F244" s="439">
        <f>F32</f>
        <v>365300</v>
      </c>
      <c r="G244" s="439"/>
      <c r="H244" s="439"/>
      <c r="I244" s="439">
        <f t="shared" si="41"/>
        <v>0</v>
      </c>
      <c r="J244" s="439">
        <f t="shared" si="42"/>
        <v>327308.79999999999</v>
      </c>
      <c r="K244" s="580">
        <f t="shared" si="43"/>
        <v>0</v>
      </c>
      <c r="L244" s="581">
        <f t="shared" si="44"/>
        <v>0</v>
      </c>
      <c r="S244" s="583"/>
    </row>
    <row r="245" spans="1:19" ht="22.15" customHeight="1">
      <c r="A245" s="576"/>
      <c r="B245" s="577" t="s">
        <v>1026</v>
      </c>
      <c r="C245" s="578" t="s">
        <v>86</v>
      </c>
      <c r="D245" s="586">
        <v>1</v>
      </c>
      <c r="E245" s="439"/>
      <c r="F245" s="439">
        <f>'Gia VT'!D227</f>
        <v>37000</v>
      </c>
      <c r="G245" s="439"/>
      <c r="H245" s="439"/>
      <c r="I245" s="439">
        <f t="shared" si="41"/>
        <v>0</v>
      </c>
      <c r="J245" s="439">
        <f t="shared" si="42"/>
        <v>37000</v>
      </c>
      <c r="K245" s="580">
        <f t="shared" si="43"/>
        <v>0</v>
      </c>
      <c r="L245" s="581">
        <f t="shared" si="44"/>
        <v>0</v>
      </c>
      <c r="S245" s="583"/>
    </row>
    <row r="246" spans="1:19" ht="22.15" customHeight="1">
      <c r="A246" s="576"/>
      <c r="B246" s="577" t="s">
        <v>664</v>
      </c>
      <c r="C246" s="578" t="s">
        <v>86</v>
      </c>
      <c r="D246" s="586">
        <v>1</v>
      </c>
      <c r="E246" s="439"/>
      <c r="F246" s="439">
        <f>F34</f>
        <v>20500</v>
      </c>
      <c r="G246" s="439"/>
      <c r="H246" s="439"/>
      <c r="I246" s="439">
        <f t="shared" si="41"/>
        <v>0</v>
      </c>
      <c r="J246" s="439">
        <f t="shared" si="42"/>
        <v>20500</v>
      </c>
      <c r="K246" s="580">
        <f t="shared" si="43"/>
        <v>0</v>
      </c>
      <c r="L246" s="581">
        <f t="shared" si="44"/>
        <v>0</v>
      </c>
      <c r="S246" s="583"/>
    </row>
    <row r="247" spans="1:19" ht="22.15" customHeight="1">
      <c r="A247" s="576"/>
      <c r="B247" s="577" t="s">
        <v>665</v>
      </c>
      <c r="C247" s="578" t="s">
        <v>86</v>
      </c>
      <c r="D247" s="586">
        <v>1</v>
      </c>
      <c r="E247" s="439"/>
      <c r="F247" s="439">
        <f>F35</f>
        <v>3000</v>
      </c>
      <c r="G247" s="439"/>
      <c r="H247" s="439"/>
      <c r="I247" s="439">
        <f t="shared" si="41"/>
        <v>0</v>
      </c>
      <c r="J247" s="439">
        <f t="shared" si="42"/>
        <v>3000</v>
      </c>
      <c r="K247" s="580">
        <f t="shared" si="43"/>
        <v>0</v>
      </c>
      <c r="L247" s="581">
        <f t="shared" si="44"/>
        <v>0</v>
      </c>
      <c r="S247" s="583"/>
    </row>
    <row r="248" spans="1:19" ht="22.15" customHeight="1">
      <c r="A248" s="576"/>
      <c r="B248" s="577" t="s">
        <v>666</v>
      </c>
      <c r="C248" s="578" t="s">
        <v>86</v>
      </c>
      <c r="D248" s="586">
        <v>1</v>
      </c>
      <c r="E248" s="439"/>
      <c r="F248" s="439">
        <f>F36</f>
        <v>3000</v>
      </c>
      <c r="G248" s="439"/>
      <c r="H248" s="439"/>
      <c r="I248" s="439">
        <f t="shared" si="41"/>
        <v>0</v>
      </c>
      <c r="J248" s="439">
        <f t="shared" si="42"/>
        <v>3000</v>
      </c>
      <c r="K248" s="580">
        <f t="shared" si="43"/>
        <v>0</v>
      </c>
      <c r="L248" s="581">
        <f t="shared" si="44"/>
        <v>0</v>
      </c>
      <c r="S248" s="583"/>
    </row>
    <row r="249" spans="1:19" ht="27" customHeight="1">
      <c r="A249" s="576"/>
      <c r="B249" s="577" t="s">
        <v>555</v>
      </c>
      <c r="C249" s="578" t="s">
        <v>86</v>
      </c>
      <c r="D249" s="586">
        <v>3</v>
      </c>
      <c r="E249" s="439"/>
      <c r="F249" s="439">
        <f>F37</f>
        <v>6400</v>
      </c>
      <c r="G249" s="439"/>
      <c r="H249" s="439"/>
      <c r="I249" s="439">
        <f t="shared" si="41"/>
        <v>0</v>
      </c>
      <c r="J249" s="439">
        <f t="shared" si="42"/>
        <v>19200</v>
      </c>
      <c r="K249" s="580">
        <f t="shared" si="43"/>
        <v>0</v>
      </c>
      <c r="L249" s="581">
        <f t="shared" si="44"/>
        <v>0</v>
      </c>
      <c r="S249" s="583"/>
    </row>
    <row r="250" spans="1:19" ht="22.15" customHeight="1">
      <c r="A250" s="576" t="s">
        <v>670</v>
      </c>
      <c r="B250" s="577" t="s">
        <v>623</v>
      </c>
      <c r="C250" s="578" t="s">
        <v>87</v>
      </c>
      <c r="D250" s="586">
        <v>1</v>
      </c>
      <c r="E250" s="439"/>
      <c r="F250" s="439"/>
      <c r="G250" s="439">
        <f>G38</f>
        <v>139730.42600000001</v>
      </c>
      <c r="H250" s="565"/>
      <c r="I250" s="439">
        <f t="shared" si="41"/>
        <v>0</v>
      </c>
      <c r="J250" s="439">
        <f t="shared" si="42"/>
        <v>0</v>
      </c>
      <c r="K250" s="580">
        <f t="shared" si="43"/>
        <v>139730.42600000001</v>
      </c>
      <c r="L250" s="581">
        <f t="shared" si="44"/>
        <v>0</v>
      </c>
      <c r="N250" s="338"/>
    </row>
    <row r="251" spans="1:19" ht="22.15" customHeight="1">
      <c r="A251" s="576" t="s">
        <v>194</v>
      </c>
      <c r="B251" s="577" t="s">
        <v>238</v>
      </c>
      <c r="C251" s="578" t="s">
        <v>168</v>
      </c>
      <c r="D251" s="586">
        <v>1</v>
      </c>
      <c r="E251" s="439"/>
      <c r="F251" s="439"/>
      <c r="G251" s="439">
        <f>G39</f>
        <v>63859.711999999992</v>
      </c>
      <c r="H251" s="439">
        <f>H39</f>
        <v>2005.4749999999999</v>
      </c>
      <c r="I251" s="439">
        <f t="shared" si="41"/>
        <v>0</v>
      </c>
      <c r="J251" s="439">
        <f t="shared" si="42"/>
        <v>0</v>
      </c>
      <c r="K251" s="580">
        <f t="shared" si="43"/>
        <v>63859.711999999992</v>
      </c>
      <c r="L251" s="581">
        <f t="shared" si="44"/>
        <v>2005.4749999999999</v>
      </c>
      <c r="N251" s="583"/>
      <c r="S251" s="583"/>
    </row>
    <row r="252" spans="1:19" ht="22.15" customHeight="1">
      <c r="A252" s="568" t="s">
        <v>41</v>
      </c>
      <c r="B252" s="569" t="s">
        <v>604</v>
      </c>
      <c r="C252" s="612"/>
      <c r="D252" s="612" t="s">
        <v>87</v>
      </c>
      <c r="E252" s="565"/>
      <c r="F252" s="565"/>
      <c r="G252" s="439"/>
      <c r="H252" s="439"/>
      <c r="I252" s="565"/>
      <c r="J252" s="565"/>
      <c r="K252" s="565"/>
      <c r="L252" s="566"/>
    </row>
    <row r="253" spans="1:19" ht="22.15" customHeight="1">
      <c r="A253" s="568">
        <v>1</v>
      </c>
      <c r="B253" s="569" t="s">
        <v>952</v>
      </c>
      <c r="C253" s="612" t="s">
        <v>605</v>
      </c>
      <c r="D253" s="590">
        <v>1</v>
      </c>
      <c r="E253" s="565"/>
      <c r="F253" s="439"/>
      <c r="G253" s="438"/>
      <c r="H253" s="565"/>
      <c r="I253" s="574">
        <f>SUM(I254:I256)</f>
        <v>0</v>
      </c>
      <c r="J253" s="574">
        <f>SUM(J254:J256)</f>
        <v>2658160</v>
      </c>
      <c r="K253" s="574">
        <f>SUM(K254:K256)</f>
        <v>515491.97700000007</v>
      </c>
      <c r="L253" s="575">
        <f>SUM(L254:L256)</f>
        <v>154199.49930000002</v>
      </c>
    </row>
    <row r="254" spans="1:19" ht="22.15" customHeight="1">
      <c r="A254" s="591"/>
      <c r="B254" s="592" t="s">
        <v>955</v>
      </c>
      <c r="C254" s="612" t="s">
        <v>90</v>
      </c>
      <c r="D254" s="612">
        <v>1</v>
      </c>
      <c r="E254" s="565"/>
      <c r="F254" s="640">
        <f>'Gia VT'!D36</f>
        <v>2650000</v>
      </c>
      <c r="G254" s="438"/>
      <c r="H254" s="565"/>
      <c r="I254" s="439">
        <f>D254*E254</f>
        <v>0</v>
      </c>
      <c r="J254" s="439">
        <f>D254*F254</f>
        <v>2650000</v>
      </c>
      <c r="K254" s="580">
        <f>G254*D254</f>
        <v>0</v>
      </c>
      <c r="L254" s="581">
        <f>+H254*D254</f>
        <v>0</v>
      </c>
    </row>
    <row r="255" spans="1:19" ht="22.15" customHeight="1">
      <c r="A255" s="591"/>
      <c r="B255" s="593" t="s">
        <v>953</v>
      </c>
      <c r="C255" s="578" t="s">
        <v>89</v>
      </c>
      <c r="D255" s="594">
        <v>0.12</v>
      </c>
      <c r="E255" s="439"/>
      <c r="F255" s="439">
        <f>F43</f>
        <v>68000</v>
      </c>
      <c r="G255" s="438"/>
      <c r="H255" s="565"/>
      <c r="I255" s="439">
        <f>D255*E255</f>
        <v>0</v>
      </c>
      <c r="J255" s="439">
        <f>D255*F255</f>
        <v>8160</v>
      </c>
      <c r="K255" s="580">
        <f>G255*D255</f>
        <v>0</v>
      </c>
      <c r="L255" s="581">
        <f>+H255*D255</f>
        <v>0</v>
      </c>
    </row>
    <row r="256" spans="1:19" ht="22.15" customHeight="1">
      <c r="A256" s="596" t="s">
        <v>228</v>
      </c>
      <c r="B256" s="592" t="s">
        <v>954</v>
      </c>
      <c r="C256" s="612" t="s">
        <v>90</v>
      </c>
      <c r="D256" s="612">
        <v>1</v>
      </c>
      <c r="E256" s="565"/>
      <c r="F256" s="439"/>
      <c r="G256" s="439">
        <f>2.73*R2*0.55</f>
        <v>515491.97700000007</v>
      </c>
      <c r="H256" s="439">
        <f>0.126*N256*0.55</f>
        <v>154199.49930000002</v>
      </c>
      <c r="I256" s="439">
        <f>D256*E256</f>
        <v>0</v>
      </c>
      <c r="J256" s="439">
        <f>D256*F256</f>
        <v>0</v>
      </c>
      <c r="K256" s="580">
        <f>G256*D256</f>
        <v>515491.97700000007</v>
      </c>
      <c r="L256" s="581">
        <f>+H256*D256</f>
        <v>154199.49930000002</v>
      </c>
      <c r="M256" s="551" t="s">
        <v>241</v>
      </c>
      <c r="N256" s="551">
        <v>2225101</v>
      </c>
    </row>
    <row r="257" spans="13:14" ht="22.15" customHeight="1"/>
    <row r="258" spans="13:14" s="583" customFormat="1" ht="22.15" customHeight="1"/>
    <row r="259" spans="13:14" ht="22.15" customHeight="1"/>
    <row r="260" spans="13:14" ht="22.15" customHeight="1"/>
    <row r="261" spans="13:14" ht="22.15" customHeight="1"/>
    <row r="262" spans="13:14" s="583" customFormat="1" ht="22.15" customHeight="1"/>
    <row r="263" spans="13:14" ht="22.15" customHeight="1"/>
    <row r="264" spans="13:14" ht="22.15" customHeight="1"/>
    <row r="265" spans="13:14" ht="22.15" customHeight="1"/>
    <row r="266" spans="13:14" ht="22.15" customHeight="1"/>
    <row r="267" spans="13:14" ht="22.15" customHeight="1"/>
    <row r="268" spans="13:14" ht="22.15" customHeight="1"/>
    <row r="269" spans="13:14" ht="22.15" customHeight="1"/>
    <row r="270" spans="13:14" ht="22.15" customHeight="1"/>
    <row r="271" spans="13:14" s="583" customFormat="1" ht="22.15" customHeight="1"/>
    <row r="272" spans="13:14" ht="22.15" customHeight="1">
      <c r="M272" s="551" t="s">
        <v>241</v>
      </c>
      <c r="N272" s="551">
        <v>2225101</v>
      </c>
    </row>
    <row r="273" spans="1:12" ht="22.15" customHeight="1"/>
    <row r="274" spans="1:12" ht="22.15" customHeight="1"/>
    <row r="275" spans="1:12" ht="22.15" customHeight="1"/>
    <row r="276" spans="1:12" ht="22.15" customHeight="1"/>
    <row r="277" spans="1:12" ht="22.15" customHeight="1"/>
    <row r="278" spans="1:12" ht="22.15" customHeight="1"/>
    <row r="279" spans="1:12" ht="22.15" customHeight="1" thickBot="1">
      <c r="A279" s="1001" t="s">
        <v>506</v>
      </c>
      <c r="B279" s="1002"/>
      <c r="C279" s="625"/>
      <c r="D279" s="625"/>
      <c r="E279" s="626"/>
      <c r="F279" s="627"/>
      <c r="G279" s="628"/>
      <c r="H279" s="626"/>
      <c r="I279" s="629">
        <f>SUM(I280:I280)</f>
        <v>0</v>
      </c>
      <c r="J279" s="629"/>
      <c r="K279" s="629"/>
      <c r="L279" s="630">
        <f>SUM(L280:L280)</f>
        <v>0</v>
      </c>
    </row>
    <row r="280" spans="1:12" ht="23.45" customHeight="1" thickTop="1">
      <c r="A280" s="631"/>
      <c r="B280" s="632" t="s">
        <v>551</v>
      </c>
      <c r="C280" s="633" t="s">
        <v>86</v>
      </c>
      <c r="D280" s="634"/>
      <c r="E280" s="635"/>
      <c r="F280" s="636">
        <v>145000</v>
      </c>
      <c r="G280" s="637"/>
      <c r="H280" s="635"/>
      <c r="I280" s="636">
        <f t="shared" ref="I280" si="45">E280*D280</f>
        <v>0</v>
      </c>
      <c r="J280" s="636">
        <f t="shared" ref="J280" si="46">F280*D280</f>
        <v>0</v>
      </c>
      <c r="K280" s="636">
        <f t="shared" ref="K280" si="47">G280*D280</f>
        <v>0</v>
      </c>
      <c r="L280" s="638">
        <f t="shared" ref="L280" si="48">H280*D280</f>
        <v>0</v>
      </c>
    </row>
  </sheetData>
  <autoFilter ref="A7:AB280" xr:uid="{00000000-0001-0000-0600-000000000000}"/>
  <mergeCells count="18">
    <mergeCell ref="Q6:R6"/>
    <mergeCell ref="W6:AB6"/>
    <mergeCell ref="A8:B8"/>
    <mergeCell ref="A9:B9"/>
    <mergeCell ref="A2:L2"/>
    <mergeCell ref="A3:L3"/>
    <mergeCell ref="A5:A6"/>
    <mergeCell ref="B5:B6"/>
    <mergeCell ref="C5:C6"/>
    <mergeCell ref="D5:D6"/>
    <mergeCell ref="E5:H5"/>
    <mergeCell ref="I5:L5"/>
    <mergeCell ref="A279:B279"/>
    <mergeCell ref="A215:B215"/>
    <mergeCell ref="A216:B216"/>
    <mergeCell ref="A229:B229"/>
    <mergeCell ref="A230:B230"/>
    <mergeCell ref="A231:B231"/>
  </mergeCells>
  <printOptions horizontalCentered="1"/>
  <pageMargins left="0.196850393700787" right="0.15748031496063" top="0.39370078740157499" bottom="0.39370078740157499" header="0.31496062992126" footer="0.118110236220472"/>
  <pageSetup paperSize="9" scale="70" firstPageNumber="5" orientation="landscape" useFirstPageNumber="1"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DFA9-AC23-4E2F-8FB1-F92E5516166A}">
  <sheetPr>
    <tabColor rgb="FF00B050"/>
  </sheetPr>
  <dimension ref="A1:P129"/>
  <sheetViews>
    <sheetView zoomScaleNormal="100" workbookViewId="0">
      <pane xSplit="2" ySplit="6" topLeftCell="C105" activePane="bottomRight" state="frozen"/>
      <selection pane="topRight" activeCell="C1" sqref="C1"/>
      <selection pane="bottomLeft" activeCell="A7" sqref="A7"/>
      <selection pane="bottomRight" activeCell="C10" sqref="C10:G128"/>
    </sheetView>
  </sheetViews>
  <sheetFormatPr defaultColWidth="9.33203125" defaultRowHeight="15"/>
  <cols>
    <col min="1" max="1" width="6.6640625" style="32" customWidth="1"/>
    <col min="2" max="2" width="20" style="32" customWidth="1"/>
    <col min="3" max="3" width="16.6640625" style="847" customWidth="1"/>
    <col min="4" max="4" width="48.33203125" style="32" customWidth="1"/>
    <col min="5" max="5" width="31.1640625" style="847" customWidth="1"/>
    <col min="6" max="6" width="14" style="884" customWidth="1"/>
    <col min="7" max="7" width="9.1640625" style="884" customWidth="1"/>
    <col min="8" max="8" width="14.1640625" style="32" customWidth="1"/>
    <col min="9" max="9" width="21.1640625" style="32" customWidth="1"/>
    <col min="10" max="12" width="14.1640625" style="32" customWidth="1"/>
    <col min="13" max="13" width="21.83203125" style="32" customWidth="1"/>
    <col min="14" max="14" width="17.5" style="32" customWidth="1"/>
    <col min="15" max="15" width="14.1640625" style="32" customWidth="1"/>
    <col min="16" max="16" width="14.83203125" style="32" bestFit="1" customWidth="1"/>
    <col min="17" max="16384" width="9.33203125" style="32"/>
  </cols>
  <sheetData>
    <row r="1" spans="2:15" ht="10.5" customHeight="1"/>
    <row r="2" spans="2:15" ht="21.6" customHeight="1">
      <c r="B2" s="877" t="s">
        <v>503</v>
      </c>
      <c r="C2" s="877"/>
      <c r="D2" s="877"/>
      <c r="E2" s="877"/>
      <c r="F2" s="739"/>
      <c r="G2" s="739"/>
      <c r="H2" s="877"/>
      <c r="I2" s="877"/>
      <c r="J2" s="877"/>
      <c r="K2" s="877"/>
      <c r="L2" s="877"/>
      <c r="M2" s="877"/>
      <c r="N2" s="877"/>
      <c r="O2" s="877"/>
    </row>
    <row r="3" spans="2:15" ht="16.899999999999999" customHeight="1">
      <c r="B3" s="878" t="s">
        <v>1031</v>
      </c>
      <c r="C3" s="878"/>
      <c r="D3" s="66"/>
      <c r="E3" s="66"/>
      <c r="F3" s="740"/>
      <c r="G3" s="740"/>
      <c r="H3" s="66"/>
      <c r="I3" s="66"/>
      <c r="J3" s="66"/>
      <c r="K3" s="66"/>
      <c r="L3" s="66"/>
      <c r="M3" s="66"/>
      <c r="N3" s="66"/>
      <c r="O3" s="66"/>
    </row>
    <row r="4" spans="2:15" ht="1.9" customHeight="1">
      <c r="B4" s="879"/>
      <c r="C4" s="879"/>
      <c r="D4" s="879"/>
      <c r="E4" s="879"/>
      <c r="F4" s="741"/>
      <c r="G4" s="741"/>
      <c r="H4" s="879"/>
      <c r="I4" s="879"/>
      <c r="J4" s="879"/>
      <c r="K4" s="879"/>
      <c r="L4" s="879"/>
      <c r="M4" s="879"/>
      <c r="N4" s="879"/>
      <c r="O4" s="879"/>
    </row>
    <row r="5" spans="2:15" ht="19.899999999999999" customHeight="1">
      <c r="B5" s="197" t="s">
        <v>22</v>
      </c>
      <c r="C5" s="848"/>
      <c r="D5" s="197" t="s">
        <v>53</v>
      </c>
      <c r="E5" s="848"/>
      <c r="F5" s="353" t="s">
        <v>52</v>
      </c>
      <c r="G5" s="353" t="s">
        <v>47</v>
      </c>
      <c r="H5" s="866" t="s">
        <v>48</v>
      </c>
      <c r="I5" s="866"/>
      <c r="J5" s="866"/>
      <c r="K5" s="866"/>
      <c r="L5" s="866" t="s">
        <v>49</v>
      </c>
      <c r="M5" s="866"/>
      <c r="N5" s="866"/>
      <c r="O5" s="866"/>
    </row>
    <row r="6" spans="2:15" ht="46.15" customHeight="1">
      <c r="B6" s="197"/>
      <c r="C6" s="848"/>
      <c r="D6" s="197"/>
      <c r="E6" s="848"/>
      <c r="F6" s="353"/>
      <c r="G6" s="353"/>
      <c r="H6" s="195" t="s">
        <v>160</v>
      </c>
      <c r="I6" s="195" t="s">
        <v>161</v>
      </c>
      <c r="J6" s="195" t="s">
        <v>85</v>
      </c>
      <c r="K6" s="195" t="s">
        <v>33</v>
      </c>
      <c r="L6" s="195" t="s">
        <v>160</v>
      </c>
      <c r="M6" s="195" t="s">
        <v>161</v>
      </c>
      <c r="N6" s="195" t="s">
        <v>50</v>
      </c>
      <c r="O6" s="195" t="s">
        <v>33</v>
      </c>
    </row>
    <row r="7" spans="2:15" ht="15.6" customHeight="1">
      <c r="B7" s="196" t="s">
        <v>54</v>
      </c>
      <c r="C7" s="809"/>
      <c r="D7" s="196" t="s">
        <v>55</v>
      </c>
      <c r="E7" s="809"/>
      <c r="F7" s="196" t="s">
        <v>57</v>
      </c>
      <c r="G7" s="196" t="s">
        <v>56</v>
      </c>
      <c r="H7" s="196" t="s">
        <v>58</v>
      </c>
      <c r="I7" s="196" t="s">
        <v>59</v>
      </c>
      <c r="J7" s="196" t="s">
        <v>60</v>
      </c>
      <c r="K7" s="196" t="s">
        <v>61</v>
      </c>
      <c r="L7" s="196" t="s">
        <v>62</v>
      </c>
      <c r="M7" s="196" t="s">
        <v>63</v>
      </c>
      <c r="N7" s="196" t="s">
        <v>64</v>
      </c>
      <c r="O7" s="196" t="s">
        <v>65</v>
      </c>
    </row>
    <row r="8" spans="2:15" ht="19.899999999999999" customHeight="1">
      <c r="B8" s="208" t="s">
        <v>98</v>
      </c>
      <c r="C8" s="849"/>
      <c r="D8" s="197"/>
      <c r="E8" s="857"/>
      <c r="F8" s="106"/>
      <c r="G8" s="106"/>
      <c r="H8" s="208"/>
      <c r="I8" s="208"/>
      <c r="J8" s="208"/>
      <c r="K8" s="208"/>
      <c r="L8" s="208"/>
      <c r="M8" s="208"/>
      <c r="N8" s="208"/>
      <c r="O8" s="208"/>
    </row>
    <row r="9" spans="2:15" ht="19.899999999999999" customHeight="1">
      <c r="B9" s="208" t="s">
        <v>73</v>
      </c>
      <c r="C9" s="849"/>
      <c r="D9" s="197"/>
      <c r="E9" s="857"/>
      <c r="F9" s="106"/>
      <c r="G9" s="106"/>
      <c r="H9" s="208"/>
      <c r="I9" s="208"/>
      <c r="J9" s="208"/>
      <c r="K9" s="208"/>
      <c r="L9" s="208"/>
      <c r="M9" s="208"/>
      <c r="N9" s="208"/>
      <c r="O9" s="208"/>
    </row>
    <row r="10" spans="2:15" ht="19.899999999999999" customHeight="1">
      <c r="B10" s="106" t="s">
        <v>40</v>
      </c>
      <c r="H10" s="200"/>
      <c r="I10" s="200"/>
      <c r="J10" s="200"/>
      <c r="K10" s="200"/>
      <c r="L10" s="357"/>
      <c r="M10" s="357"/>
      <c r="N10" s="357"/>
      <c r="O10" s="343"/>
    </row>
    <row r="11" spans="2:15" ht="19.899999999999999" customHeight="1">
      <c r="B11" s="205">
        <v>1</v>
      </c>
      <c r="H11" s="355">
        <v>961939.35009599989</v>
      </c>
      <c r="I11" s="355">
        <v>0</v>
      </c>
      <c r="J11" s="355">
        <v>577250.97405000008</v>
      </c>
      <c r="K11" s="355">
        <v>53782.864476999996</v>
      </c>
      <c r="L11" s="202">
        <v>21162665.702111997</v>
      </c>
      <c r="M11" s="202">
        <f>I11*'TIEN LUONG'!D8</f>
        <v>0</v>
      </c>
      <c r="N11" s="202">
        <f>J11*'TIEN LUONG'!D8</f>
        <v>12699521.429100001</v>
      </c>
      <c r="O11" s="202">
        <f>'TIEN LUONG'!D8*K11</f>
        <v>1183223.018494</v>
      </c>
    </row>
    <row r="12" spans="2:15" ht="19.899999999999999" customHeight="1">
      <c r="B12" s="205">
        <v>2</v>
      </c>
      <c r="H12" s="355">
        <v>1478643.0029239999</v>
      </c>
      <c r="I12" s="355">
        <v>0</v>
      </c>
      <c r="J12" s="355">
        <v>873344.76585000008</v>
      </c>
      <c r="K12" s="355">
        <v>85070.303113000002</v>
      </c>
      <c r="L12" s="202">
        <v>5914572.0116959997</v>
      </c>
      <c r="M12" s="202">
        <f>I12*'TIEN LUONG'!D9</f>
        <v>0</v>
      </c>
      <c r="N12" s="202">
        <f>J12*'TIEN LUONG'!D9</f>
        <v>3493379.0634000003</v>
      </c>
      <c r="O12" s="202">
        <f>'TIEN LUONG'!D9*K12</f>
        <v>340281.21245200001</v>
      </c>
    </row>
    <row r="13" spans="2:15" ht="19.899999999999999" customHeight="1">
      <c r="B13" s="106" t="s">
        <v>41</v>
      </c>
      <c r="H13" s="355"/>
      <c r="I13" s="355"/>
      <c r="J13" s="355"/>
      <c r="K13" s="355"/>
      <c r="L13" s="202">
        <v>0</v>
      </c>
      <c r="M13" s="202">
        <f>I13*'TIEN LUONG'!D10</f>
        <v>0</v>
      </c>
      <c r="N13" s="202">
        <f>J13*'TIEN LUONG'!D10</f>
        <v>0</v>
      </c>
      <c r="O13" s="202">
        <f>'TIEN LUONG'!D10*K13</f>
        <v>0</v>
      </c>
    </row>
    <row r="14" spans="2:15" ht="19.899999999999999" customHeight="1">
      <c r="B14" s="205">
        <v>1</v>
      </c>
      <c r="H14" s="355">
        <v>0</v>
      </c>
      <c r="I14" s="355">
        <v>955963.2</v>
      </c>
      <c r="J14" s="355">
        <v>203590.13800000001</v>
      </c>
      <c r="K14" s="355">
        <v>2005.4749999999999</v>
      </c>
      <c r="L14" s="202">
        <v>0</v>
      </c>
      <c r="M14" s="202">
        <f>I14*'TIEN LUONG'!D11</f>
        <v>36326601.600000001</v>
      </c>
      <c r="N14" s="202">
        <f>J14*'TIEN LUONG'!D11</f>
        <v>7736425.2439999999</v>
      </c>
      <c r="O14" s="202">
        <f>'TIEN LUONG'!D11*K14</f>
        <v>76208.05</v>
      </c>
    </row>
    <row r="15" spans="2:15" s="66" customFormat="1" ht="19.899999999999999" customHeight="1">
      <c r="B15" s="106" t="s">
        <v>45</v>
      </c>
      <c r="H15" s="356"/>
      <c r="I15" s="356"/>
      <c r="J15" s="356"/>
      <c r="K15" s="356"/>
      <c r="L15" s="202">
        <v>0</v>
      </c>
      <c r="M15" s="202">
        <f>I15*'TIEN LUONG'!D12</f>
        <v>0</v>
      </c>
      <c r="N15" s="202">
        <f>J15*'TIEN LUONG'!D12</f>
        <v>0</v>
      </c>
      <c r="O15" s="202">
        <f>'TIEN LUONG'!D12*K15</f>
        <v>0</v>
      </c>
    </row>
    <row r="16" spans="2:15" ht="19.899999999999999" customHeight="1">
      <c r="B16" s="205">
        <v>1</v>
      </c>
      <c r="H16" s="355">
        <v>0</v>
      </c>
      <c r="I16" s="355">
        <v>4995401.4720000001</v>
      </c>
      <c r="J16" s="355">
        <v>591021.93699999992</v>
      </c>
      <c r="K16" s="355">
        <v>220284.99900000001</v>
      </c>
      <c r="L16" s="202">
        <v>0</v>
      </c>
      <c r="M16" s="202">
        <f>I16*'TIEN LUONG'!D13</f>
        <v>109898832.384</v>
      </c>
      <c r="N16" s="202">
        <f>J16*'TIEN LUONG'!D13</f>
        <v>13002482.613999998</v>
      </c>
      <c r="O16" s="202">
        <f>'TIEN LUONG'!D13*K16</f>
        <v>4846269.9780000001</v>
      </c>
    </row>
    <row r="17" spans="1:16" ht="19.899999999999999" customHeight="1">
      <c r="A17" s="32">
        <v>2</v>
      </c>
      <c r="B17" s="205">
        <v>1</v>
      </c>
      <c r="H17" s="355">
        <v>0</v>
      </c>
      <c r="I17" s="355">
        <v>7295401.4720000001</v>
      </c>
      <c r="J17" s="355">
        <v>736417.11</v>
      </c>
      <c r="K17" s="355">
        <v>220284.99900000001</v>
      </c>
      <c r="L17" s="202">
        <v>0</v>
      </c>
      <c r="M17" s="202">
        <f>I17*'TIEN LUONG'!D14</f>
        <v>29181605.888</v>
      </c>
      <c r="N17" s="202">
        <f>J17*'TIEN LUONG'!D14</f>
        <v>2945668.44</v>
      </c>
      <c r="O17" s="202">
        <f>'TIEN LUONG'!D14*K17</f>
        <v>881139.99600000004</v>
      </c>
    </row>
    <row r="18" spans="1:16" ht="19.899999999999999" customHeight="1">
      <c r="B18" s="106" t="s">
        <v>46</v>
      </c>
      <c r="H18" s="200"/>
      <c r="I18" s="200"/>
      <c r="J18" s="200"/>
      <c r="K18" s="200"/>
      <c r="L18" s="202">
        <v>0</v>
      </c>
      <c r="M18" s="202">
        <f>I18*'TIEN LUONG'!D15</f>
        <v>0</v>
      </c>
      <c r="N18" s="202">
        <f>J18*'TIEN LUONG'!D15</f>
        <v>0</v>
      </c>
      <c r="O18" s="202">
        <f>'TIEN LUONG'!D15*K18</f>
        <v>0</v>
      </c>
    </row>
    <row r="19" spans="1:16" ht="19.899999999999999" customHeight="1">
      <c r="B19" s="205">
        <v>1</v>
      </c>
      <c r="H19" s="202">
        <v>0</v>
      </c>
      <c r="I19" s="202">
        <v>1265000</v>
      </c>
      <c r="J19" s="202">
        <v>711341.1632800001</v>
      </c>
      <c r="K19" s="202">
        <v>0</v>
      </c>
      <c r="L19" s="202">
        <v>0</v>
      </c>
      <c r="M19" s="202">
        <f>I19*'TIEN LUONG'!D16</f>
        <v>2530000</v>
      </c>
      <c r="N19" s="202">
        <f>J19*'TIEN LUONG'!D16</f>
        <v>1422682.3265600002</v>
      </c>
      <c r="O19" s="202">
        <f>'TIEN LUONG'!D16*K19</f>
        <v>0</v>
      </c>
    </row>
    <row r="20" spans="1:16" ht="19.899999999999999" customHeight="1">
      <c r="B20" s="205">
        <v>2</v>
      </c>
      <c r="H20" s="202">
        <v>0</v>
      </c>
      <c r="I20" s="202">
        <v>2309800</v>
      </c>
      <c r="J20" s="202">
        <v>685717.62434999994</v>
      </c>
      <c r="K20" s="202">
        <v>0</v>
      </c>
      <c r="L20" s="202">
        <v>0</v>
      </c>
      <c r="M20" s="202">
        <f>I20*'TIEN LUONG'!D17</f>
        <v>18478400</v>
      </c>
      <c r="N20" s="202">
        <f>J20*'TIEN LUONG'!D17</f>
        <v>5485740.9947999995</v>
      </c>
      <c r="O20" s="202">
        <f>'TIEN LUONG'!D17*K20</f>
        <v>0</v>
      </c>
    </row>
    <row r="21" spans="1:16" ht="19.899999999999999" customHeight="1">
      <c r="B21" s="205">
        <v>3</v>
      </c>
      <c r="H21" s="202">
        <v>0</v>
      </c>
      <c r="I21" s="202">
        <v>1136400</v>
      </c>
      <c r="J21" s="202">
        <v>382653.65985000005</v>
      </c>
      <c r="K21" s="202">
        <v>0</v>
      </c>
      <c r="L21" s="202">
        <v>0</v>
      </c>
      <c r="M21" s="202">
        <f>I21*'TIEN LUONG'!D18</f>
        <v>1136400</v>
      </c>
      <c r="N21" s="202">
        <f>J21*'TIEN LUONG'!D18</f>
        <v>382653.65985000005</v>
      </c>
      <c r="O21" s="202">
        <f>'TIEN LUONG'!D18*K21</f>
        <v>0</v>
      </c>
    </row>
    <row r="22" spans="1:16" ht="19.899999999999999" customHeight="1">
      <c r="B22" s="205">
        <v>4</v>
      </c>
      <c r="H22" s="202">
        <v>0</v>
      </c>
      <c r="I22" s="202">
        <v>844200</v>
      </c>
      <c r="J22" s="202">
        <v>339035.10795000003</v>
      </c>
      <c r="K22" s="202">
        <v>0</v>
      </c>
      <c r="L22" s="202">
        <v>0</v>
      </c>
      <c r="M22" s="202">
        <f>I22*'TIEN LUONG'!D19</f>
        <v>37989000</v>
      </c>
      <c r="N22" s="202">
        <f>J22*'TIEN LUONG'!D19</f>
        <v>15256579.857750002</v>
      </c>
      <c r="O22" s="202">
        <f>'TIEN LUONG'!D19*K22</f>
        <v>0</v>
      </c>
    </row>
    <row r="23" spans="1:16" ht="19.899999999999999" customHeight="1">
      <c r="B23" s="205">
        <v>5</v>
      </c>
      <c r="H23" s="202">
        <v>0</v>
      </c>
      <c r="I23" s="202">
        <v>1725400</v>
      </c>
      <c r="J23" s="202">
        <v>469041.05160000006</v>
      </c>
      <c r="K23" s="202">
        <v>0</v>
      </c>
      <c r="L23" s="202">
        <v>0</v>
      </c>
      <c r="M23" s="202">
        <f>I23*'TIEN LUONG'!D20</f>
        <v>6901600</v>
      </c>
      <c r="N23" s="202">
        <f>J23*'TIEN LUONG'!D20</f>
        <v>1876164.2064000003</v>
      </c>
      <c r="O23" s="202">
        <f>'TIEN LUONG'!D20*K23</f>
        <v>0</v>
      </c>
    </row>
    <row r="24" spans="1:16" ht="19.899999999999999" customHeight="1">
      <c r="B24" s="205">
        <v>6</v>
      </c>
      <c r="H24" s="202">
        <v>0</v>
      </c>
      <c r="I24" s="202">
        <v>1591800</v>
      </c>
      <c r="J24" s="202">
        <v>637567.27485000005</v>
      </c>
      <c r="K24" s="202">
        <v>0</v>
      </c>
      <c r="L24" s="202">
        <v>0</v>
      </c>
      <c r="M24" s="202">
        <f>I24*'TIEN LUONG'!D21</f>
        <v>3183600</v>
      </c>
      <c r="N24" s="202">
        <f>J24*'TIEN LUONG'!D21</f>
        <v>1275134.5497000001</v>
      </c>
      <c r="O24" s="202">
        <f>'TIEN LUONG'!D21*K24</f>
        <v>0</v>
      </c>
    </row>
    <row r="25" spans="1:16" ht="19.899999999999999" customHeight="1">
      <c r="B25" s="205">
        <v>7</v>
      </c>
      <c r="H25" s="202">
        <v>0</v>
      </c>
      <c r="I25" s="202">
        <v>3477800</v>
      </c>
      <c r="J25" s="202">
        <v>912307.50434999994</v>
      </c>
      <c r="K25" s="202">
        <v>0</v>
      </c>
      <c r="L25" s="202">
        <v>0</v>
      </c>
      <c r="M25" s="202">
        <f>I25*'TIEN LUONG'!D22</f>
        <v>3477800</v>
      </c>
      <c r="N25" s="202">
        <f>J25*'TIEN LUONG'!D22</f>
        <v>912307.50434999994</v>
      </c>
      <c r="O25" s="202">
        <f>'TIEN LUONG'!D22*K25</f>
        <v>0</v>
      </c>
    </row>
    <row r="26" spans="1:16" ht="19.899999999999999" customHeight="1">
      <c r="B26" s="106" t="s">
        <v>639</v>
      </c>
      <c r="H26" s="343"/>
      <c r="I26" s="343"/>
      <c r="J26" s="343"/>
      <c r="K26" s="343"/>
      <c r="L26" s="202">
        <v>0</v>
      </c>
      <c r="M26" s="202">
        <f>I26*'TIEN LUONG'!D23</f>
        <v>0</v>
      </c>
      <c r="N26" s="202">
        <f>J26*'TIEN LUONG'!D23</f>
        <v>0</v>
      </c>
      <c r="O26" s="202">
        <f>'TIEN LUONG'!D23*K26</f>
        <v>0</v>
      </c>
    </row>
    <row r="27" spans="1:16" s="755" customFormat="1" ht="19.899999999999999" customHeight="1">
      <c r="B27" s="756" t="s">
        <v>639</v>
      </c>
      <c r="H27" s="759"/>
      <c r="I27" s="760"/>
      <c r="J27" s="761"/>
      <c r="K27" s="759"/>
      <c r="L27" s="762">
        <v>0</v>
      </c>
      <c r="M27" s="762">
        <f>SUM(M28:M66)</f>
        <v>446005446.66666663</v>
      </c>
      <c r="N27" s="762">
        <f>SUM(N28:N66)</f>
        <v>69357310.612326905</v>
      </c>
      <c r="O27" s="763">
        <f>SUM(O28:O66)</f>
        <v>63877.601716500008</v>
      </c>
    </row>
    <row r="28" spans="1:16" ht="19.899999999999999" customHeight="1">
      <c r="B28" s="764" t="s">
        <v>1151</v>
      </c>
      <c r="H28" s="767"/>
      <c r="I28" s="768">
        <v>592200</v>
      </c>
      <c r="J28" s="769">
        <v>35259.839999999997</v>
      </c>
      <c r="K28" s="767"/>
      <c r="L28" s="770">
        <v>0</v>
      </c>
      <c r="M28" s="768">
        <f>I28*'TIEN LUONG'!D25</f>
        <v>78170400</v>
      </c>
      <c r="N28" s="770">
        <f>J28*'TIEN LUONG'!D25</f>
        <v>4654298.88</v>
      </c>
      <c r="O28" s="770">
        <f>+K28*'TIEN LUONG'!D25</f>
        <v>0</v>
      </c>
    </row>
    <row r="29" spans="1:16" ht="19.899999999999999" customHeight="1">
      <c r="B29" s="764" t="s">
        <v>1557</v>
      </c>
      <c r="H29" s="767"/>
      <c r="I29" s="768">
        <v>480000</v>
      </c>
      <c r="J29" s="769">
        <v>28648.620000000003</v>
      </c>
      <c r="K29" s="767"/>
      <c r="L29" s="770">
        <v>0</v>
      </c>
      <c r="M29" s="768">
        <f>I29*'TIEN LUONG'!D26</f>
        <v>21120000</v>
      </c>
      <c r="N29" s="770">
        <f>J29*'TIEN LUONG'!D26</f>
        <v>1260539.28</v>
      </c>
      <c r="O29" s="770">
        <f>+K29*'TIEN LUONG'!D26</f>
        <v>0</v>
      </c>
    </row>
    <row r="30" spans="1:16" ht="19.899999999999999" customHeight="1">
      <c r="B30" s="764" t="s">
        <v>1558</v>
      </c>
      <c r="H30" s="767"/>
      <c r="I30" s="768">
        <v>396000</v>
      </c>
      <c r="J30" s="769">
        <v>15426.18</v>
      </c>
      <c r="K30" s="767"/>
      <c r="L30" s="770">
        <v>0</v>
      </c>
      <c r="M30" s="768">
        <f>I30*'TIEN LUONG'!D27</f>
        <v>28512000</v>
      </c>
      <c r="N30" s="770">
        <f>J30*'TIEN LUONG'!D27</f>
        <v>1110684.96</v>
      </c>
      <c r="O30" s="770">
        <f>+K30*'TIEN LUONG'!D27</f>
        <v>0</v>
      </c>
      <c r="P30" s="113"/>
    </row>
    <row r="31" spans="1:16" s="66" customFormat="1" ht="19.899999999999999" customHeight="1">
      <c r="B31" s="764" t="s">
        <v>1558</v>
      </c>
      <c r="H31" s="767"/>
      <c r="I31" s="771">
        <v>206600</v>
      </c>
      <c r="J31" s="769">
        <v>15426.18</v>
      </c>
      <c r="K31" s="767"/>
      <c r="L31" s="770">
        <v>0</v>
      </c>
      <c r="M31" s="768">
        <f>I31*'TIEN LUONG'!D28</f>
        <v>4958400</v>
      </c>
      <c r="N31" s="770">
        <f>J31*'TIEN LUONG'!D28</f>
        <v>370228.32</v>
      </c>
      <c r="O31" s="770">
        <f>+K31*'TIEN LUONG'!D28</f>
        <v>0</v>
      </c>
    </row>
    <row r="32" spans="1:16" s="66" customFormat="1" ht="19.899999999999999" customHeight="1">
      <c r="B32" s="772"/>
      <c r="H32" s="775"/>
      <c r="I32" s="776">
        <v>79300</v>
      </c>
      <c r="J32" s="777"/>
      <c r="K32" s="775"/>
      <c r="L32" s="770">
        <v>0</v>
      </c>
      <c r="M32" s="768">
        <f>I32*'TIEN LUONG'!D29</f>
        <v>10919610</v>
      </c>
      <c r="N32" s="770">
        <f>J32*'TIEN LUONG'!D29</f>
        <v>0</v>
      </c>
      <c r="O32" s="770">
        <f>+K32*'TIEN LUONG'!D29</f>
        <v>0</v>
      </c>
    </row>
    <row r="33" spans="2:16" s="160" customFormat="1" ht="19.899999999999999" customHeight="1">
      <c r="B33" s="772" t="s">
        <v>307</v>
      </c>
      <c r="H33" s="775"/>
      <c r="I33" s="338"/>
      <c r="J33" s="777">
        <v>5106814.9341000011</v>
      </c>
      <c r="K33" s="777">
        <v>303188.51750000002</v>
      </c>
      <c r="L33" s="770">
        <v>0</v>
      </c>
      <c r="M33" s="768">
        <f>I33*'TIEN LUONG'!D30</f>
        <v>0</v>
      </c>
      <c r="N33" s="770">
        <f>J33*'TIEN LUONG'!D30</f>
        <v>689420.01610350015</v>
      </c>
      <c r="O33" s="770">
        <f>+K33*'TIEN LUONG'!D30</f>
        <v>40930.449862500005</v>
      </c>
      <c r="P33" s="334"/>
    </row>
    <row r="34" spans="2:16" s="160" customFormat="1" ht="19.899999999999999" customHeight="1">
      <c r="B34" s="772"/>
      <c r="H34" s="775"/>
      <c r="I34" s="776">
        <v>37000</v>
      </c>
      <c r="J34" s="777"/>
      <c r="K34" s="775"/>
      <c r="L34" s="770">
        <v>0</v>
      </c>
      <c r="M34" s="768">
        <f>I34*'TIEN LUONG'!D31</f>
        <v>7698960</v>
      </c>
      <c r="N34" s="770">
        <f>J34*'TIEN LUONG'!D31</f>
        <v>0</v>
      </c>
      <c r="O34" s="770">
        <f>+K34*'TIEN LUONG'!D31</f>
        <v>0</v>
      </c>
      <c r="P34" s="334"/>
    </row>
    <row r="35" spans="2:16" s="160" customFormat="1" ht="27.75" customHeight="1">
      <c r="B35" s="772" t="s">
        <v>963</v>
      </c>
      <c r="H35" s="775"/>
      <c r="I35" s="338"/>
      <c r="J35" s="777">
        <v>2156900.78835</v>
      </c>
      <c r="K35" s="777">
        <v>112486.03850000001</v>
      </c>
      <c r="L35" s="770">
        <v>0</v>
      </c>
      <c r="M35" s="768">
        <f>I35*'TIEN LUONG'!D32</f>
        <v>0</v>
      </c>
      <c r="N35" s="770">
        <f>J35*'TIEN LUONG'!D32</f>
        <v>440007.76082339999</v>
      </c>
      <c r="O35" s="770">
        <f>+K35*'TIEN LUONG'!D32</f>
        <v>22947.151854</v>
      </c>
    </row>
    <row r="36" spans="2:16" s="115" customFormat="1" ht="19.899999999999999" customHeight="1">
      <c r="B36" s="779"/>
      <c r="H36" s="775"/>
      <c r="I36" s="338"/>
      <c r="J36" s="777"/>
      <c r="K36" s="775"/>
      <c r="L36" s="782">
        <v>0</v>
      </c>
      <c r="M36" s="782">
        <v>10920000</v>
      </c>
      <c r="N36" s="782">
        <v>3139227.63</v>
      </c>
      <c r="O36" s="782">
        <v>0</v>
      </c>
    </row>
    <row r="37" spans="2:16" s="115" customFormat="1" ht="35.1" customHeight="1">
      <c r="B37" s="870"/>
      <c r="H37" s="870"/>
      <c r="I37" s="872"/>
      <c r="J37" s="872"/>
      <c r="K37" s="872"/>
      <c r="L37" s="873">
        <v>0</v>
      </c>
      <c r="M37" s="873">
        <v>4392000</v>
      </c>
      <c r="N37" s="787">
        <v>0</v>
      </c>
      <c r="O37" s="787">
        <v>0</v>
      </c>
    </row>
    <row r="38" spans="2:16" s="115" customFormat="1" ht="35.1" customHeight="1">
      <c r="B38" s="870"/>
      <c r="H38" s="870"/>
      <c r="I38" s="872"/>
      <c r="J38" s="872"/>
      <c r="K38" s="872"/>
      <c r="L38" s="873">
        <v>0</v>
      </c>
      <c r="M38" s="873">
        <v>1524000</v>
      </c>
      <c r="N38" s="787">
        <v>0</v>
      </c>
      <c r="O38" s="787">
        <v>0</v>
      </c>
    </row>
    <row r="39" spans="2:16" s="750" customFormat="1" ht="35.1" customHeight="1">
      <c r="B39" s="840"/>
      <c r="H39" s="785"/>
      <c r="I39" s="786"/>
      <c r="J39" s="819"/>
      <c r="K39" s="785"/>
      <c r="L39" s="787">
        <v>0</v>
      </c>
      <c r="M39" s="787">
        <v>600000</v>
      </c>
      <c r="N39" s="787">
        <v>1630767.5999999999</v>
      </c>
      <c r="O39" s="787">
        <v>0</v>
      </c>
    </row>
    <row r="40" spans="2:16" s="115" customFormat="1" ht="35.1" customHeight="1">
      <c r="B40" s="783"/>
      <c r="H40" s="785"/>
      <c r="I40" s="786"/>
      <c r="J40" s="786"/>
      <c r="K40" s="786"/>
      <c r="L40" s="787">
        <v>0</v>
      </c>
      <c r="M40" s="787">
        <v>40007760</v>
      </c>
      <c r="N40" s="787">
        <v>7378899.4421999995</v>
      </c>
      <c r="O40" s="787">
        <v>0</v>
      </c>
    </row>
    <row r="41" spans="2:16" s="115" customFormat="1" ht="35.1" customHeight="1">
      <c r="B41" s="783"/>
      <c r="H41" s="785"/>
      <c r="I41" s="786"/>
      <c r="J41" s="786"/>
      <c r="K41" s="786"/>
      <c r="L41" s="787">
        <v>0</v>
      </c>
      <c r="M41" s="787">
        <v>1015466.6666666666</v>
      </c>
      <c r="N41" s="787">
        <v>9746798.0199999996</v>
      </c>
      <c r="O41" s="787">
        <v>0</v>
      </c>
    </row>
    <row r="42" spans="2:16" s="115" customFormat="1" ht="19.899999999999999" customHeight="1">
      <c r="B42" s="841"/>
      <c r="H42" s="845"/>
      <c r="I42" s="786"/>
      <c r="J42" s="846"/>
      <c r="K42" s="785"/>
      <c r="L42" s="787">
        <v>0</v>
      </c>
      <c r="M42" s="787">
        <v>3159000</v>
      </c>
      <c r="N42" s="787">
        <v>5781440.7882000003</v>
      </c>
      <c r="O42" s="787">
        <v>0</v>
      </c>
    </row>
    <row r="43" spans="2:16" s="160" customFormat="1" ht="19.899999999999999" customHeight="1">
      <c r="B43" s="196"/>
      <c r="H43" s="788"/>
      <c r="I43" s="338"/>
      <c r="J43" s="788"/>
      <c r="K43" s="790"/>
      <c r="L43" s="770">
        <v>0</v>
      </c>
      <c r="M43" s="768">
        <f>I43*'TIEN LUONG'!D40</f>
        <v>0</v>
      </c>
      <c r="N43" s="770">
        <f>J43*'TIEN LUONG'!D40</f>
        <v>0</v>
      </c>
      <c r="O43" s="770">
        <f>+K43*'TIEN LUONG'!D40</f>
        <v>0</v>
      </c>
    </row>
    <row r="44" spans="2:16" s="160" customFormat="1" ht="19.899999999999999" customHeight="1">
      <c r="B44" s="196"/>
      <c r="H44" s="788"/>
      <c r="I44" s="338">
        <v>249000</v>
      </c>
      <c r="J44" s="788"/>
      <c r="K44" s="790"/>
      <c r="L44" s="770">
        <v>0</v>
      </c>
      <c r="M44" s="768">
        <f>I44*'TIEN LUONG'!D41</f>
        <v>747000</v>
      </c>
      <c r="N44" s="770">
        <f>J44*'TIEN LUONG'!D41</f>
        <v>0</v>
      </c>
      <c r="O44" s="770">
        <f>+K44*'TIEN LUONG'!D41</f>
        <v>0</v>
      </c>
    </row>
    <row r="45" spans="2:16" s="160" customFormat="1" ht="19.899999999999999" customHeight="1">
      <c r="B45" s="196"/>
      <c r="H45" s="788"/>
      <c r="I45" s="338">
        <v>105000</v>
      </c>
      <c r="J45" s="788"/>
      <c r="K45" s="790"/>
      <c r="L45" s="770">
        <v>0</v>
      </c>
      <c r="M45" s="768">
        <f>I45*'TIEN LUONG'!D42</f>
        <v>315000</v>
      </c>
      <c r="N45" s="770">
        <f>J45*'TIEN LUONG'!D42</f>
        <v>0</v>
      </c>
      <c r="O45" s="770">
        <f>+K45*'TIEN LUONG'!D42</f>
        <v>0</v>
      </c>
    </row>
    <row r="46" spans="2:16">
      <c r="B46" s="106"/>
      <c r="H46" s="788"/>
      <c r="I46" s="338">
        <v>32500</v>
      </c>
      <c r="J46" s="793"/>
      <c r="K46" s="794"/>
      <c r="L46" s="770">
        <v>0</v>
      </c>
      <c r="M46" s="768">
        <f>I46*'TIEN LUONG'!D43</f>
        <v>1657500</v>
      </c>
      <c r="N46" s="770">
        <f>J46*'TIEN LUONG'!D43</f>
        <v>0</v>
      </c>
      <c r="O46" s="770">
        <f>+K46*'TIEN LUONG'!D43</f>
        <v>0</v>
      </c>
    </row>
    <row r="47" spans="2:16">
      <c r="B47" s="106"/>
      <c r="H47" s="788"/>
      <c r="I47" s="338">
        <v>18100</v>
      </c>
      <c r="J47" s="793"/>
      <c r="K47" s="794"/>
      <c r="L47" s="770">
        <v>0</v>
      </c>
      <c r="M47" s="768">
        <f>I47*'TIEN LUONG'!D44</f>
        <v>54300</v>
      </c>
      <c r="N47" s="770">
        <f>J47*'TIEN LUONG'!D44</f>
        <v>0</v>
      </c>
      <c r="O47" s="770">
        <f>+K47*'TIEN LUONG'!D44</f>
        <v>0</v>
      </c>
    </row>
    <row r="48" spans="2:16">
      <c r="B48" s="106"/>
      <c r="H48" s="788"/>
      <c r="I48" s="338">
        <v>64700</v>
      </c>
      <c r="J48" s="793"/>
      <c r="K48" s="794"/>
      <c r="L48" s="770">
        <v>0</v>
      </c>
      <c r="M48" s="768">
        <f>I48*'TIEN LUONG'!D45</f>
        <v>388200</v>
      </c>
      <c r="N48" s="770">
        <f>J48*'TIEN LUONG'!D45</f>
        <v>0</v>
      </c>
      <c r="O48" s="770">
        <f>+K48*'TIEN LUONG'!D45</f>
        <v>0</v>
      </c>
    </row>
    <row r="49" spans="2:15">
      <c r="B49" s="106"/>
      <c r="H49" s="775"/>
      <c r="I49" s="338">
        <v>144500</v>
      </c>
      <c r="J49" s="338"/>
      <c r="K49" s="338"/>
      <c r="L49" s="770">
        <v>0</v>
      </c>
      <c r="M49" s="768">
        <f>I49*'TIEN LUONG'!D46</f>
        <v>3468000</v>
      </c>
      <c r="N49" s="770">
        <f>J49*'TIEN LUONG'!D46</f>
        <v>0</v>
      </c>
      <c r="O49" s="770">
        <f>+K49*'TIEN LUONG'!D46</f>
        <v>0</v>
      </c>
    </row>
    <row r="50" spans="2:15">
      <c r="B50" s="106"/>
      <c r="H50" s="775"/>
      <c r="I50" s="338">
        <v>81000</v>
      </c>
      <c r="J50" s="338"/>
      <c r="K50" s="338"/>
      <c r="L50" s="770">
        <v>0</v>
      </c>
      <c r="M50" s="768">
        <f>I50*'TIEN LUONG'!D47</f>
        <v>405000</v>
      </c>
      <c r="N50" s="770">
        <f>J50*'TIEN LUONG'!D47</f>
        <v>0</v>
      </c>
      <c r="O50" s="770">
        <f>+K50*'TIEN LUONG'!D47</f>
        <v>0</v>
      </c>
    </row>
    <row r="51" spans="2:15">
      <c r="B51" s="196"/>
      <c r="H51" s="788"/>
      <c r="I51" s="338">
        <v>105000</v>
      </c>
      <c r="J51" s="788"/>
      <c r="K51" s="790"/>
      <c r="L51" s="770">
        <v>0</v>
      </c>
      <c r="M51" s="768">
        <f>I51*'TIEN LUONG'!D48</f>
        <v>6615000</v>
      </c>
      <c r="N51" s="770">
        <f>J51*'TIEN LUONG'!D48</f>
        <v>0</v>
      </c>
      <c r="O51" s="770">
        <f>+K51*'TIEN LUONG'!D48</f>
        <v>0</v>
      </c>
    </row>
    <row r="52" spans="2:15">
      <c r="B52" s="196"/>
      <c r="H52" s="788"/>
      <c r="I52" s="338">
        <v>80000</v>
      </c>
      <c r="J52" s="788"/>
      <c r="K52" s="790"/>
      <c r="L52" s="770">
        <v>0</v>
      </c>
      <c r="M52" s="768">
        <f>I52*'TIEN LUONG'!D49</f>
        <v>1120000</v>
      </c>
      <c r="N52" s="770">
        <f>J52*'TIEN LUONG'!D49</f>
        <v>0</v>
      </c>
      <c r="O52" s="770">
        <f>+K52*'TIEN LUONG'!D49</f>
        <v>0</v>
      </c>
    </row>
    <row r="53" spans="2:15">
      <c r="B53" s="106"/>
      <c r="H53" s="775"/>
      <c r="I53" s="338">
        <v>30000</v>
      </c>
      <c r="J53" s="338"/>
      <c r="K53" s="338"/>
      <c r="L53" s="770">
        <v>0</v>
      </c>
      <c r="M53" s="768">
        <f>I53*'TIEN LUONG'!D50</f>
        <v>1260000</v>
      </c>
      <c r="N53" s="770">
        <f>J53*'TIEN LUONG'!D50</f>
        <v>0</v>
      </c>
      <c r="O53" s="770">
        <f>+K53*'TIEN LUONG'!D50</f>
        <v>0</v>
      </c>
    </row>
    <row r="54" spans="2:15">
      <c r="B54" s="106"/>
      <c r="H54" s="775"/>
      <c r="I54" s="338">
        <v>390000</v>
      </c>
      <c r="J54" s="338"/>
      <c r="K54" s="338"/>
      <c r="L54" s="770">
        <v>0</v>
      </c>
      <c r="M54" s="768">
        <f>I54*'TIEN LUONG'!D51</f>
        <v>19890000</v>
      </c>
      <c r="N54" s="770">
        <f>J54*'TIEN LUONG'!D51</f>
        <v>0</v>
      </c>
      <c r="O54" s="770">
        <f>+K54*'TIEN LUONG'!D51</f>
        <v>0</v>
      </c>
    </row>
    <row r="55" spans="2:15">
      <c r="B55" s="106"/>
      <c r="H55" s="775"/>
      <c r="I55" s="338">
        <v>390000</v>
      </c>
      <c r="J55" s="338"/>
      <c r="K55" s="338"/>
      <c r="L55" s="770">
        <v>0</v>
      </c>
      <c r="M55" s="768">
        <f>I55*'TIEN LUONG'!D52</f>
        <v>20670000</v>
      </c>
      <c r="N55" s="770">
        <f>J55*'TIEN LUONG'!D52</f>
        <v>0</v>
      </c>
      <c r="O55" s="770">
        <f>+K55*'TIEN LUONG'!D52</f>
        <v>0</v>
      </c>
    </row>
    <row r="56" spans="2:15">
      <c r="B56" s="106"/>
      <c r="H56" s="775"/>
      <c r="I56" s="776">
        <v>25900</v>
      </c>
      <c r="J56" s="338"/>
      <c r="K56" s="338"/>
      <c r="L56" s="770">
        <v>0</v>
      </c>
      <c r="M56" s="768">
        <f>I56*'TIEN LUONG'!D53</f>
        <v>5477850</v>
      </c>
      <c r="N56" s="770">
        <f>J56*'TIEN LUONG'!D53</f>
        <v>0</v>
      </c>
      <c r="O56" s="770">
        <f>+K56*'TIEN LUONG'!D53</f>
        <v>0</v>
      </c>
    </row>
    <row r="57" spans="2:15" ht="24" customHeight="1">
      <c r="B57" s="795" t="s">
        <v>115</v>
      </c>
      <c r="H57" s="798"/>
      <c r="I57" s="776"/>
      <c r="J57" s="776">
        <v>22925.426000000003</v>
      </c>
      <c r="K57" s="776"/>
      <c r="L57" s="799">
        <v>0</v>
      </c>
      <c r="M57" s="776">
        <f>I57*'TIEN LUONG'!D54</f>
        <v>0</v>
      </c>
      <c r="N57" s="799">
        <f>J57*'TIEN LUONG'!D54</f>
        <v>2154990.0440000002</v>
      </c>
      <c r="O57" s="799">
        <f>+K57*'TIEN LUONG'!D54</f>
        <v>0</v>
      </c>
    </row>
    <row r="58" spans="2:15">
      <c r="B58" s="106"/>
      <c r="H58" s="775"/>
      <c r="I58" s="338"/>
      <c r="J58" s="338"/>
      <c r="K58" s="338"/>
      <c r="L58" s="800">
        <v>0</v>
      </c>
      <c r="M58" s="338">
        <f>I58*'TIEN LUONG'!D55</f>
        <v>0</v>
      </c>
      <c r="N58" s="800">
        <f>J58*'TIEN LUONG'!D55</f>
        <v>0</v>
      </c>
      <c r="O58" s="800">
        <f>+K58*'TIEN LUONG'!D55</f>
        <v>0</v>
      </c>
    </row>
    <row r="59" spans="2:15">
      <c r="B59" s="106"/>
      <c r="H59" s="775"/>
      <c r="I59" s="338">
        <v>3820000</v>
      </c>
      <c r="J59" s="338"/>
      <c r="K59" s="338"/>
      <c r="L59" s="800">
        <v>0</v>
      </c>
      <c r="M59" s="338">
        <f>I59*'TIEN LUONG'!D56</f>
        <v>103140000</v>
      </c>
      <c r="N59" s="800">
        <f>J59*'TIEN LUONG'!D56</f>
        <v>0</v>
      </c>
      <c r="O59" s="800">
        <f>+K59*'TIEN LUONG'!D56</f>
        <v>0</v>
      </c>
    </row>
    <row r="60" spans="2:15">
      <c r="B60" s="205" t="s">
        <v>989</v>
      </c>
      <c r="H60" s="775"/>
      <c r="I60" s="338"/>
      <c r="J60" s="338">
        <v>666042.78300000005</v>
      </c>
      <c r="K60" s="338"/>
      <c r="L60" s="800">
        <v>0</v>
      </c>
      <c r="M60" s="338">
        <f>I60*'TIEN LUONG'!D57</f>
        <v>0</v>
      </c>
      <c r="N60" s="800">
        <f>J60*'TIEN LUONG'!D57</f>
        <v>17983155.141000003</v>
      </c>
      <c r="O60" s="800">
        <f>+K60*'TIEN LUONG'!D57</f>
        <v>0</v>
      </c>
    </row>
    <row r="61" spans="2:15">
      <c r="B61" s="106"/>
      <c r="H61" s="775"/>
      <c r="I61" s="338">
        <v>3590000</v>
      </c>
      <c r="J61" s="338"/>
      <c r="K61" s="338"/>
      <c r="L61" s="800">
        <v>0</v>
      </c>
      <c r="M61" s="338">
        <f>I61*'TIEN LUONG'!D58</f>
        <v>21540000</v>
      </c>
      <c r="N61" s="800">
        <f>J61*'TIEN LUONG'!D58</f>
        <v>0</v>
      </c>
      <c r="O61" s="800">
        <f>+K61*'TIEN LUONG'!D58</f>
        <v>0</v>
      </c>
    </row>
    <row r="62" spans="2:15">
      <c r="B62" s="205" t="s">
        <v>991</v>
      </c>
      <c r="H62" s="775"/>
      <c r="I62" s="338"/>
      <c r="J62" s="338">
        <v>596951.20799999998</v>
      </c>
      <c r="K62" s="338"/>
      <c r="L62" s="800">
        <v>0</v>
      </c>
      <c r="M62" s="338">
        <f>I62*'TIEN LUONG'!D59</f>
        <v>0</v>
      </c>
      <c r="N62" s="800">
        <f>J62*'TIEN LUONG'!D59</f>
        <v>3581707.2479999997</v>
      </c>
      <c r="O62" s="800">
        <f>+K62*'TIEN LUONG'!D59</f>
        <v>0</v>
      </c>
    </row>
    <row r="63" spans="2:15">
      <c r="B63" s="106"/>
      <c r="H63" s="775"/>
      <c r="I63" s="338">
        <v>2650000</v>
      </c>
      <c r="J63" s="338"/>
      <c r="K63" s="338"/>
      <c r="L63" s="800">
        <v>0</v>
      </c>
      <c r="M63" s="338">
        <f>I63*'TIEN LUONG'!D60</f>
        <v>31800000</v>
      </c>
      <c r="N63" s="800">
        <f>J63*'TIEN LUONG'!D60</f>
        <v>0</v>
      </c>
      <c r="O63" s="800">
        <f>+K63*'TIEN LUONG'!D60</f>
        <v>0</v>
      </c>
    </row>
    <row r="64" spans="2:15">
      <c r="B64" s="205" t="s">
        <v>992</v>
      </c>
      <c r="H64" s="775"/>
      <c r="I64" s="338"/>
      <c r="J64" s="338">
        <v>541677.94799999997</v>
      </c>
      <c r="K64" s="338"/>
      <c r="L64" s="800">
        <v>0</v>
      </c>
      <c r="M64" s="338">
        <f>I64*'TIEN LUONG'!D61</f>
        <v>0</v>
      </c>
      <c r="N64" s="800">
        <f>J64*'TIEN LUONG'!D61</f>
        <v>6500135.3760000002</v>
      </c>
      <c r="O64" s="800">
        <f>+K64*'TIEN LUONG'!D61</f>
        <v>0</v>
      </c>
    </row>
    <row r="65" spans="2:15">
      <c r="B65" s="106"/>
      <c r="H65" s="775"/>
      <c r="I65" s="338">
        <v>2410000</v>
      </c>
      <c r="J65" s="338"/>
      <c r="K65" s="338"/>
      <c r="L65" s="800">
        <v>0</v>
      </c>
      <c r="M65" s="338">
        <f>I65*'TIEN LUONG'!D62</f>
        <v>14460000</v>
      </c>
      <c r="N65" s="800">
        <f>J65*'TIEN LUONG'!D62</f>
        <v>0</v>
      </c>
      <c r="O65" s="800">
        <f>+K65*'TIEN LUONG'!D62</f>
        <v>0</v>
      </c>
    </row>
    <row r="66" spans="2:15">
      <c r="B66" s="758" t="s">
        <v>993</v>
      </c>
      <c r="H66" s="759"/>
      <c r="I66" s="760"/>
      <c r="J66" s="760">
        <v>489168.35100000002</v>
      </c>
      <c r="K66" s="760"/>
      <c r="L66" s="803">
        <v>0</v>
      </c>
      <c r="M66" s="760">
        <f>I66*'TIEN LUONG'!D63</f>
        <v>0</v>
      </c>
      <c r="N66" s="803">
        <f>J66*'TIEN LUONG'!D63</f>
        <v>2935010.1060000001</v>
      </c>
      <c r="O66" s="803">
        <f>+K66*'TIEN LUONG'!D63</f>
        <v>0</v>
      </c>
    </row>
    <row r="67" spans="2:15">
      <c r="B67" s="783">
        <v>2</v>
      </c>
      <c r="H67" s="754">
        <v>0</v>
      </c>
      <c r="I67" s="754">
        <v>6628684</v>
      </c>
      <c r="J67" s="754">
        <v>659170.56000000006</v>
      </c>
      <c r="K67" s="754">
        <v>0</v>
      </c>
      <c r="L67" s="754">
        <v>0</v>
      </c>
      <c r="M67" s="754">
        <f>I67*'TIEN LUONG'!D64</f>
        <v>112687628</v>
      </c>
      <c r="N67" s="754">
        <f>J67*'TIEN LUONG'!D64</f>
        <v>11205899.520000001</v>
      </c>
      <c r="O67" s="754">
        <f>'TIEN LUONG'!D64*K67</f>
        <v>0</v>
      </c>
    </row>
    <row r="68" spans="2:15">
      <c r="B68" s="106" t="s">
        <v>677</v>
      </c>
      <c r="H68" s="806"/>
      <c r="I68" s="807"/>
      <c r="J68" s="808"/>
      <c r="K68" s="794"/>
      <c r="L68" s="806">
        <f>SUM(L69:L97)</f>
        <v>0</v>
      </c>
      <c r="M68" s="806">
        <f>SUM(M69:M97)</f>
        <v>0</v>
      </c>
      <c r="N68" s="806">
        <f>SUM(N69:N97)</f>
        <v>52593910.192421094</v>
      </c>
      <c r="O68" s="806">
        <f>SUM(O69:O97)</f>
        <v>4738326.1983135007</v>
      </c>
    </row>
    <row r="69" spans="2:15">
      <c r="B69" s="809" t="s">
        <v>1151</v>
      </c>
      <c r="H69" s="803"/>
      <c r="I69" s="760"/>
      <c r="J69" s="761">
        <f>0.16*CDL!$M$107*0.4</f>
        <v>23506.560000000001</v>
      </c>
      <c r="K69" s="813"/>
      <c r="L69" s="803">
        <f>+H69*'TIEN LUONG'!D66</f>
        <v>0</v>
      </c>
      <c r="M69" s="760">
        <f>I69*'TIEN LUONG'!D66</f>
        <v>0</v>
      </c>
      <c r="N69" s="803">
        <f>J69*'TIEN LUONG'!D66</f>
        <v>2327149.44</v>
      </c>
      <c r="O69" s="803">
        <f>+K69*'TIEN LUONG'!D66</f>
        <v>0</v>
      </c>
    </row>
    <row r="70" spans="2:15">
      <c r="B70" s="814" t="s">
        <v>1557</v>
      </c>
      <c r="H70" s="818"/>
      <c r="I70" s="786"/>
      <c r="J70" s="819">
        <f>0.13*CDL!$M$107*0.4</f>
        <v>19099.080000000002</v>
      </c>
      <c r="K70" s="820"/>
      <c r="L70" s="818">
        <f>+H70*'TIEN LUONG'!D67</f>
        <v>0</v>
      </c>
      <c r="M70" s="786">
        <f>I70*'TIEN LUONG'!D67</f>
        <v>0</v>
      </c>
      <c r="N70" s="818">
        <f>J70*'TIEN LUONG'!D67</f>
        <v>630269.64</v>
      </c>
      <c r="O70" s="818">
        <f>+K70*'TIEN LUONG'!D67</f>
        <v>0</v>
      </c>
    </row>
    <row r="71" spans="2:15">
      <c r="B71" s="821" t="s">
        <v>1558</v>
      </c>
      <c r="H71" s="825"/>
      <c r="I71" s="826"/>
      <c r="J71" s="827">
        <f>0.07*CDL!$M$107*0.4</f>
        <v>10284.120000000003</v>
      </c>
      <c r="K71" s="828"/>
      <c r="L71" s="825">
        <f>+H71*'TIEN LUONG'!D68</f>
        <v>0</v>
      </c>
      <c r="M71" s="826">
        <f>I71*'TIEN LUONG'!D68</f>
        <v>0</v>
      </c>
      <c r="N71" s="825">
        <f>J71*'TIEN LUONG'!D68</f>
        <v>555342.4800000001</v>
      </c>
      <c r="O71" s="825">
        <f>+K71*'TIEN LUONG'!D68</f>
        <v>0</v>
      </c>
    </row>
    <row r="72" spans="2:15">
      <c r="B72" s="814" t="s">
        <v>1558</v>
      </c>
      <c r="H72" s="818"/>
      <c r="I72" s="786"/>
      <c r="J72" s="819">
        <f>+J71</f>
        <v>10284.120000000003</v>
      </c>
      <c r="K72" s="820"/>
      <c r="L72" s="818">
        <f>+H72*'TIEN LUONG'!D69</f>
        <v>0</v>
      </c>
      <c r="M72" s="786">
        <f>I72*'TIEN LUONG'!D69</f>
        <v>0</v>
      </c>
      <c r="N72" s="818">
        <f>J72*'TIEN LUONG'!D69</f>
        <v>185114.16000000003</v>
      </c>
      <c r="O72" s="818">
        <f>+K72*'TIEN LUONG'!D69</f>
        <v>0</v>
      </c>
    </row>
    <row r="73" spans="2:15">
      <c r="B73" s="196" t="s">
        <v>307</v>
      </c>
      <c r="H73" s="800"/>
      <c r="I73" s="338"/>
      <c r="J73" s="777">
        <f>21.38*1.1*CDL!$R$4*0.45</f>
        <v>4178303.1279000007</v>
      </c>
      <c r="K73" s="777">
        <f>+(0.22*CDL!$N$107+0.47*CDL!$N$108+0.22*CDL!$N$109)*0.45</f>
        <v>248063.33249999999</v>
      </c>
      <c r="L73" s="800">
        <f>+H73*'TIEN LUONG'!D70</f>
        <v>0</v>
      </c>
      <c r="M73" s="338">
        <f>I73*'TIEN LUONG'!D70</f>
        <v>0</v>
      </c>
      <c r="N73" s="800">
        <f>J73*'TIEN LUONG'!D70</f>
        <v>564070.92226650007</v>
      </c>
      <c r="O73" s="800">
        <f>+K73*'TIEN LUONG'!D70</f>
        <v>33488.549887499998</v>
      </c>
    </row>
    <row r="74" spans="2:15">
      <c r="B74" s="196" t="s">
        <v>963</v>
      </c>
      <c r="H74" s="800"/>
      <c r="I74" s="338"/>
      <c r="J74" s="777">
        <f>12.9*0.7*CDL!$R$4*0.45*1.1</f>
        <v>1764737.00865</v>
      </c>
      <c r="K74" s="777">
        <f>+(0.2*CDL!$N$107+0.27*CDL!$N$108+0*CDL!$N$109)*0.45</f>
        <v>92034.031500000012</v>
      </c>
      <c r="L74" s="800">
        <f>+H74*'TIEN LUONG'!D71</f>
        <v>0</v>
      </c>
      <c r="M74" s="338">
        <f>I74*'TIEN LUONG'!D71</f>
        <v>0</v>
      </c>
      <c r="N74" s="800">
        <f>J74*'TIEN LUONG'!D71</f>
        <v>360006.34976459999</v>
      </c>
      <c r="O74" s="800">
        <f>+K74*'TIEN LUONG'!D71</f>
        <v>18774.942426000001</v>
      </c>
    </row>
    <row r="75" spans="2:15">
      <c r="B75" s="196" t="s">
        <v>274</v>
      </c>
      <c r="H75" s="800"/>
      <c r="I75" s="338"/>
      <c r="J75" s="338">
        <f>3.9*CDL!R2*0.45</f>
        <v>602523.09</v>
      </c>
      <c r="K75" s="777">
        <f>0.18*CDL!N185*0.45</f>
        <v>180233.18100000001</v>
      </c>
      <c r="L75" s="800">
        <f>+H75*'TIEN LUONG'!D72</f>
        <v>0</v>
      </c>
      <c r="M75" s="338">
        <f>I75*'TIEN LUONG'!D72</f>
        <v>0</v>
      </c>
      <c r="N75" s="800">
        <f>J75*'TIEN LUONG'!D72</f>
        <v>2410092.36</v>
      </c>
      <c r="O75" s="800">
        <f>+K75*'TIEN LUONG'!D72</f>
        <v>720932.72400000005</v>
      </c>
    </row>
    <row r="76" spans="2:15">
      <c r="B76" s="196" t="s">
        <v>117</v>
      </c>
      <c r="H76" s="800"/>
      <c r="I76" s="338"/>
      <c r="J76" s="338">
        <f>3.13*CDL!R2*0.45</f>
        <v>483563.40299999993</v>
      </c>
      <c r="K76" s="777">
        <f>0.18*CDL!N185*0.45</f>
        <v>180233.18100000001</v>
      </c>
      <c r="L76" s="800">
        <f>+H76*'TIEN LUONG'!D73</f>
        <v>0</v>
      </c>
      <c r="M76" s="338">
        <f>I76*'TIEN LUONG'!D73</f>
        <v>0</v>
      </c>
      <c r="N76" s="800">
        <f>J76*'TIEN LUONG'!D73</f>
        <v>10638394.865999999</v>
      </c>
      <c r="O76" s="800">
        <f>+K76*'TIEN LUONG'!D73</f>
        <v>3965129.9820000003</v>
      </c>
    </row>
    <row r="77" spans="2:15">
      <c r="B77" s="196" t="s">
        <v>672</v>
      </c>
      <c r="H77" s="800"/>
      <c r="I77" s="338"/>
      <c r="J77" s="338">
        <f>2.216*CDL!R2*1.7*0.45</f>
        <v>582006.40632000007</v>
      </c>
      <c r="K77" s="790"/>
      <c r="L77" s="800">
        <f>+H77*'TIEN LUONG'!D74</f>
        <v>0</v>
      </c>
      <c r="M77" s="338">
        <f>I77*'TIEN LUONG'!D74</f>
        <v>0</v>
      </c>
      <c r="N77" s="800">
        <f>J77*'TIEN LUONG'!D74</f>
        <v>1164012.8126400001</v>
      </c>
      <c r="O77" s="800">
        <f>+K77*'TIEN LUONG'!D74</f>
        <v>0</v>
      </c>
    </row>
    <row r="78" spans="2:15">
      <c r="B78" s="196" t="s">
        <v>272</v>
      </c>
      <c r="H78" s="800"/>
      <c r="I78" s="338"/>
      <c r="J78" s="338">
        <f>2.421*CDL!R2*1.5*0.45</f>
        <v>561041.69264999998</v>
      </c>
      <c r="K78" s="790"/>
      <c r="L78" s="800">
        <f>+H78*'TIEN LUONG'!D75</f>
        <v>0</v>
      </c>
      <c r="M78" s="338">
        <f>I78*'TIEN LUONG'!D75</f>
        <v>0</v>
      </c>
      <c r="N78" s="800">
        <f>J78*'TIEN LUONG'!D75</f>
        <v>5049375.2338499995</v>
      </c>
      <c r="O78" s="800">
        <f>+K78*'TIEN LUONG'!D75</f>
        <v>0</v>
      </c>
    </row>
    <row r="79" spans="2:15">
      <c r="B79" s="196" t="s">
        <v>671</v>
      </c>
      <c r="H79" s="800"/>
      <c r="I79" s="338"/>
      <c r="J79" s="338">
        <f>1.351*CDL!R2*1.5*0.45</f>
        <v>313080.26715000003</v>
      </c>
      <c r="K79" s="790"/>
      <c r="L79" s="800">
        <f>+H79*'TIEN LUONG'!D76</f>
        <v>0</v>
      </c>
      <c r="M79" s="338">
        <f>I79*'TIEN LUONG'!D76</f>
        <v>0</v>
      </c>
      <c r="N79" s="800">
        <f>J79*'TIEN LUONG'!D76</f>
        <v>313080.26715000003</v>
      </c>
      <c r="O79" s="800">
        <f>+K79*'TIEN LUONG'!D76</f>
        <v>0</v>
      </c>
    </row>
    <row r="80" spans="2:15">
      <c r="B80" s="196" t="s">
        <v>671</v>
      </c>
      <c r="H80" s="800"/>
      <c r="I80" s="338"/>
      <c r="J80" s="338">
        <f>1.197*CDL!R2*1.5*0.45</f>
        <v>277392.36105000001</v>
      </c>
      <c r="K80" s="790"/>
      <c r="L80" s="800">
        <f>+H80*'TIEN LUONG'!D77</f>
        <v>0</v>
      </c>
      <c r="M80" s="338">
        <f>I80*'TIEN LUONG'!D77</f>
        <v>0</v>
      </c>
      <c r="N80" s="800">
        <f>J80*'TIEN LUONG'!D77</f>
        <v>12482656.24725</v>
      </c>
      <c r="O80" s="800">
        <f>+K80*'TIEN LUONG'!D77</f>
        <v>0</v>
      </c>
    </row>
    <row r="81" spans="2:15">
      <c r="B81" s="196" t="s">
        <v>671</v>
      </c>
      <c r="H81" s="800"/>
      <c r="I81" s="338"/>
      <c r="J81" s="338">
        <f>1.656*CDL!R2*1.5*0.45</f>
        <v>383760.86040000001</v>
      </c>
      <c r="K81" s="790"/>
      <c r="L81" s="800">
        <f>+H81*'TIEN LUONG'!D78</f>
        <v>0</v>
      </c>
      <c r="M81" s="338">
        <f>I81*'TIEN LUONG'!D78</f>
        <v>0</v>
      </c>
      <c r="N81" s="800">
        <f>J81*'TIEN LUONG'!D78</f>
        <v>1535043.4416</v>
      </c>
      <c r="O81" s="800">
        <f>+K81*'TIEN LUONG'!D78</f>
        <v>0</v>
      </c>
    </row>
    <row r="82" spans="2:15">
      <c r="B82" s="196" t="s">
        <v>672</v>
      </c>
      <c r="H82" s="800"/>
      <c r="I82" s="338"/>
      <c r="J82" s="338">
        <f>2.251*CDL!R2*1.5*0.45</f>
        <v>521645.95214999997</v>
      </c>
      <c r="K82" s="790"/>
      <c r="L82" s="800">
        <f>+H82*'TIEN LUONG'!D79</f>
        <v>0</v>
      </c>
      <c r="M82" s="338">
        <f>I82*'TIEN LUONG'!D79</f>
        <v>0</v>
      </c>
      <c r="N82" s="800">
        <f>J82*'TIEN LUONG'!D79</f>
        <v>1043291.9042999999</v>
      </c>
      <c r="O82" s="800">
        <f>+K82*'TIEN LUONG'!D79</f>
        <v>0</v>
      </c>
    </row>
    <row r="83" spans="2:15">
      <c r="B83" s="196" t="s">
        <v>336</v>
      </c>
      <c r="H83" s="800"/>
      <c r="I83" s="338"/>
      <c r="J83" s="338">
        <f>0.37*CDL!R3*0.45</f>
        <v>61153.784999999996</v>
      </c>
      <c r="K83" s="790"/>
      <c r="L83" s="800">
        <f>+H83*'TIEN LUONG'!D80</f>
        <v>0</v>
      </c>
      <c r="M83" s="338">
        <f>I83*'TIEN LUONG'!D80</f>
        <v>0</v>
      </c>
      <c r="N83" s="800">
        <f>J83*'TIEN LUONG'!D80</f>
        <v>2568458.9699999997</v>
      </c>
      <c r="O83" s="800">
        <f>+K83*'TIEN LUONG'!D80</f>
        <v>0</v>
      </c>
    </row>
    <row r="84" spans="2:15">
      <c r="B84" s="196" t="s">
        <v>115</v>
      </c>
      <c r="H84" s="800"/>
      <c r="I84" s="338"/>
      <c r="J84" s="338">
        <f>3.34*CDL!R2/10*0.45</f>
        <v>51600.695399999997</v>
      </c>
      <c r="K84" s="790"/>
      <c r="L84" s="800">
        <f>+H84*'TIEN LUONG'!D81</f>
        <v>0</v>
      </c>
      <c r="M84" s="338">
        <f>I84*'TIEN LUONG'!D81</f>
        <v>0</v>
      </c>
      <c r="N84" s="800">
        <f>J84*'TIEN LUONG'!D81</f>
        <v>6037281.3618000001</v>
      </c>
      <c r="O84" s="800">
        <f>+K84*'TIEN LUONG'!D81</f>
        <v>0</v>
      </c>
    </row>
    <row r="85" spans="2:15">
      <c r="B85" s="196" t="s">
        <v>619</v>
      </c>
      <c r="H85" s="800"/>
      <c r="I85" s="338"/>
      <c r="J85" s="338">
        <f>CDL!R2*1.26*1.5*0.45*0.3</f>
        <v>87597.587700000004</v>
      </c>
      <c r="K85" s="790"/>
      <c r="L85" s="800">
        <f>+H85*'TIEN LUONG'!D82</f>
        <v>0</v>
      </c>
      <c r="M85" s="338">
        <f>I85*'TIEN LUONG'!D82</f>
        <v>0</v>
      </c>
      <c r="N85" s="800">
        <f>J85*'TIEN LUONG'!D82</f>
        <v>4730269.7357999999</v>
      </c>
      <c r="O85" s="800">
        <f>+K85*'TIEN LUONG'!D82</f>
        <v>0</v>
      </c>
    </row>
    <row r="86" spans="2:15">
      <c r="B86" s="196"/>
      <c r="H86" s="800"/>
      <c r="I86" s="338"/>
      <c r="J86" s="338"/>
      <c r="K86" s="790"/>
      <c r="L86" s="800">
        <f>+H86*'TIEN LUONG'!D83</f>
        <v>0</v>
      </c>
      <c r="M86" s="338">
        <f>I86*'TIEN LUONG'!D83</f>
        <v>0</v>
      </c>
      <c r="N86" s="800">
        <f>J86*'TIEN LUONG'!D83</f>
        <v>0</v>
      </c>
      <c r="O86" s="800">
        <f>+K86*'TIEN LUONG'!D83</f>
        <v>0</v>
      </c>
    </row>
    <row r="87" spans="2:15">
      <c r="B87" s="196"/>
      <c r="H87" s="800"/>
      <c r="I87" s="338"/>
      <c r="J87" s="338"/>
      <c r="K87" s="790"/>
      <c r="L87" s="800">
        <f>+H87*'TIEN LUONG'!D84</f>
        <v>0</v>
      </c>
      <c r="M87" s="338">
        <f>I87*'TIEN LUONG'!D84</f>
        <v>0</v>
      </c>
      <c r="N87" s="800">
        <f>J87*'TIEN LUONG'!D84</f>
        <v>0</v>
      </c>
      <c r="O87" s="800">
        <f>+K87*'TIEN LUONG'!D84</f>
        <v>0</v>
      </c>
    </row>
    <row r="88" spans="2:15">
      <c r="B88" s="196"/>
      <c r="H88" s="800"/>
      <c r="I88" s="338"/>
      <c r="J88" s="338"/>
      <c r="K88" s="790"/>
      <c r="L88" s="800">
        <f>+H88*'TIEN LUONG'!D85</f>
        <v>0</v>
      </c>
      <c r="M88" s="338">
        <f>I88*'TIEN LUONG'!D85</f>
        <v>0</v>
      </c>
      <c r="N88" s="800">
        <f>J88*'TIEN LUONG'!D85</f>
        <v>0</v>
      </c>
      <c r="O88" s="800">
        <f>+K88*'TIEN LUONG'!D85</f>
        <v>0</v>
      </c>
    </row>
    <row r="89" spans="2:15">
      <c r="B89" s="196"/>
      <c r="H89" s="800"/>
      <c r="I89" s="338"/>
      <c r="J89" s="338"/>
      <c r="K89" s="790"/>
      <c r="L89" s="800">
        <f>+H89*'TIEN LUONG'!D86</f>
        <v>0</v>
      </c>
      <c r="M89" s="338">
        <f>I89*'TIEN LUONG'!D86</f>
        <v>0</v>
      </c>
      <c r="N89" s="800">
        <f>J89*'TIEN LUONG'!D86</f>
        <v>0</v>
      </c>
      <c r="O89" s="800">
        <f>+K89*'TIEN LUONG'!D86</f>
        <v>0</v>
      </c>
    </row>
    <row r="90" spans="2:15">
      <c r="B90" s="196"/>
      <c r="H90" s="800"/>
      <c r="I90" s="338"/>
      <c r="J90" s="338"/>
      <c r="K90" s="790"/>
      <c r="L90" s="800">
        <f>+H90*'TIEN LUONG'!D87</f>
        <v>0</v>
      </c>
      <c r="M90" s="338">
        <f>I90*'TIEN LUONG'!D87</f>
        <v>0</v>
      </c>
      <c r="N90" s="800">
        <f>J90*'TIEN LUONG'!D87</f>
        <v>0</v>
      </c>
      <c r="O90" s="800">
        <f>+K90*'TIEN LUONG'!D87</f>
        <v>0</v>
      </c>
    </row>
    <row r="91" spans="2:15">
      <c r="B91" s="196"/>
      <c r="H91" s="800"/>
      <c r="I91" s="338"/>
      <c r="J91" s="338"/>
      <c r="K91" s="790"/>
      <c r="L91" s="800">
        <f>+H91*'TIEN LUONG'!D88</f>
        <v>0</v>
      </c>
      <c r="M91" s="338">
        <f>I91*'TIEN LUONG'!D88</f>
        <v>0</v>
      </c>
      <c r="N91" s="800">
        <f>J91*'TIEN LUONG'!D88</f>
        <v>0</v>
      </c>
      <c r="O91" s="800">
        <f>+K91*'TIEN LUONG'!D88</f>
        <v>0</v>
      </c>
    </row>
    <row r="92" spans="2:15">
      <c r="B92" s="196"/>
      <c r="H92" s="800"/>
      <c r="I92" s="338"/>
      <c r="J92" s="338"/>
      <c r="K92" s="790"/>
      <c r="L92" s="800">
        <f>+H92*'TIEN LUONG'!D89</f>
        <v>0</v>
      </c>
      <c r="M92" s="338">
        <f>I92*'TIEN LUONG'!D89</f>
        <v>0</v>
      </c>
      <c r="N92" s="800">
        <f>J92*'TIEN LUONG'!D89</f>
        <v>0</v>
      </c>
      <c r="O92" s="800">
        <f>+K92*'TIEN LUONG'!D89</f>
        <v>0</v>
      </c>
    </row>
    <row r="93" spans="2:15">
      <c r="B93" s="196"/>
      <c r="H93" s="800"/>
      <c r="I93" s="338"/>
      <c r="J93" s="338"/>
      <c r="K93" s="790"/>
      <c r="L93" s="800">
        <f>+H93*'TIEN LUONG'!D90</f>
        <v>0</v>
      </c>
      <c r="M93" s="338">
        <f>I93*'TIEN LUONG'!D90</f>
        <v>0</v>
      </c>
      <c r="N93" s="800">
        <f>J93*'TIEN LUONG'!D90</f>
        <v>0</v>
      </c>
      <c r="O93" s="800">
        <f>+K93*'TIEN LUONG'!D90</f>
        <v>0</v>
      </c>
    </row>
    <row r="94" spans="2:15" ht="42" customHeight="1">
      <c r="B94" s="814"/>
      <c r="H94" s="818"/>
      <c r="I94" s="786"/>
      <c r="J94" s="786"/>
      <c r="K94" s="820"/>
      <c r="L94" s="818">
        <f>+H94*'TIEN LUONG'!D91</f>
        <v>0</v>
      </c>
      <c r="M94" s="786">
        <f>I94*'TIEN LUONG'!D91</f>
        <v>0</v>
      </c>
      <c r="N94" s="818">
        <f>J94*'TIEN LUONG'!D91</f>
        <v>0</v>
      </c>
      <c r="O94" s="818">
        <f>+K94*'TIEN LUONG'!D91</f>
        <v>0</v>
      </c>
    </row>
    <row r="95" spans="2:15" ht="42" customHeight="1">
      <c r="B95" s="814"/>
      <c r="H95" s="818"/>
      <c r="I95" s="786"/>
      <c r="J95" s="786"/>
      <c r="K95" s="820"/>
      <c r="L95" s="818">
        <f>+H95*'TIEN LUONG'!D92</f>
        <v>0</v>
      </c>
      <c r="M95" s="786">
        <f>I95*'TIEN LUONG'!D92</f>
        <v>0</v>
      </c>
      <c r="N95" s="818">
        <f>J95*'TIEN LUONG'!D92</f>
        <v>0</v>
      </c>
      <c r="O95" s="818">
        <f>+K95*'TIEN LUONG'!D92</f>
        <v>0</v>
      </c>
    </row>
    <row r="96" spans="2:15" ht="42" customHeight="1">
      <c r="B96" s="814"/>
      <c r="H96" s="818"/>
      <c r="I96" s="786"/>
      <c r="J96" s="786"/>
      <c r="K96" s="820"/>
      <c r="L96" s="818">
        <f>+H96*'TIEN LUONG'!D93</f>
        <v>0</v>
      </c>
      <c r="M96" s="786">
        <f>I96*'TIEN LUONG'!D93</f>
        <v>0</v>
      </c>
      <c r="N96" s="818">
        <f>J96*'TIEN LUONG'!D93</f>
        <v>0</v>
      </c>
      <c r="O96" s="818">
        <f>+K96*'TIEN LUONG'!D93</f>
        <v>0</v>
      </c>
    </row>
    <row r="97" spans="2:15" ht="42" customHeight="1">
      <c r="B97" s="814"/>
      <c r="H97" s="818"/>
      <c r="I97" s="786"/>
      <c r="J97" s="786"/>
      <c r="K97" s="820"/>
      <c r="L97" s="818">
        <f>+H97*'TIEN LUONG'!D94</f>
        <v>0</v>
      </c>
      <c r="M97" s="786">
        <f>I97*'TIEN LUONG'!D94</f>
        <v>0</v>
      </c>
      <c r="N97" s="818">
        <f>J97*'TIEN LUONG'!D94</f>
        <v>0</v>
      </c>
      <c r="O97" s="818">
        <f>+K97*'TIEN LUONG'!D94</f>
        <v>0</v>
      </c>
    </row>
    <row r="98" spans="2:15">
      <c r="B98" s="834" t="s">
        <v>505</v>
      </c>
      <c r="H98" s="208"/>
      <c r="I98" s="882"/>
      <c r="J98" s="833"/>
      <c r="K98" s="833"/>
      <c r="L98" s="806">
        <f>SUM(L99:L104)</f>
        <v>0</v>
      </c>
      <c r="M98" s="806">
        <f>SUM(M99:M104)</f>
        <v>142807500</v>
      </c>
      <c r="N98" s="806">
        <f>SUM(N99:N104)</f>
        <v>37292613.030000001</v>
      </c>
      <c r="O98" s="806">
        <f>SUM(O99:O104)</f>
        <v>5706488.5236</v>
      </c>
    </row>
    <row r="99" spans="2:15">
      <c r="B99" s="880"/>
      <c r="H99" s="213"/>
      <c r="I99" s="883">
        <f>'Gia VT'!D46</f>
        <v>1123700</v>
      </c>
      <c r="J99" s="788"/>
      <c r="K99" s="790"/>
      <c r="L99" s="800">
        <f>+H99*'TIEN LUONG'!D95</f>
        <v>0</v>
      </c>
      <c r="M99" s="338">
        <f>I99*'TIEN LUONG'!D95</f>
        <v>60679800</v>
      </c>
      <c r="N99" s="800">
        <f>J99*'TIEN LUONG'!D95</f>
        <v>0</v>
      </c>
      <c r="O99" s="800">
        <f>+K99*'TIEN LUONG'!D95</f>
        <v>0</v>
      </c>
    </row>
    <row r="100" spans="2:15">
      <c r="B100" s="196" t="s">
        <v>974</v>
      </c>
      <c r="H100" s="788"/>
      <c r="I100" s="338"/>
      <c r="J100" s="788">
        <f>1.85*CDL!R3*0.6/3</f>
        <v>135897.29999999999</v>
      </c>
      <c r="K100" s="790"/>
      <c r="L100" s="800">
        <f>+H100*'TIEN LUONG'!D96</f>
        <v>0</v>
      </c>
      <c r="M100" s="338">
        <f>I100*'TIEN LUONG'!D96</f>
        <v>0</v>
      </c>
      <c r="N100" s="800">
        <f>J100*'TIEN LUONG'!D96</f>
        <v>7338454.1999999993</v>
      </c>
      <c r="O100" s="800">
        <f>+K100*'TIEN LUONG'!D96</f>
        <v>0</v>
      </c>
    </row>
    <row r="101" spans="2:15">
      <c r="B101" s="196"/>
      <c r="H101" s="788"/>
      <c r="I101" s="776">
        <f>'Gia VT'!D43</f>
        <v>2945300</v>
      </c>
      <c r="J101" s="788"/>
      <c r="K101" s="790"/>
      <c r="L101" s="800">
        <f>+H101*'TIEN LUONG'!D97</f>
        <v>0</v>
      </c>
      <c r="M101" s="338">
        <f>I101*'TIEN LUONG'!D97</f>
        <v>26507700</v>
      </c>
      <c r="N101" s="800">
        <f>J101*'TIEN LUONG'!D97</f>
        <v>0</v>
      </c>
      <c r="O101" s="800">
        <f>+K101*'TIEN LUONG'!D97</f>
        <v>0</v>
      </c>
    </row>
    <row r="102" spans="2:15">
      <c r="B102" s="205" t="s">
        <v>976</v>
      </c>
      <c r="H102" s="788"/>
      <c r="I102" s="338"/>
      <c r="J102" s="800">
        <f>2.81*CDL!R4</f>
        <v>1109413.29</v>
      </c>
      <c r="K102" s="790">
        <f>+(0.12*CDL!N214+0.12*CDL!N214*3%)</f>
        <v>211351.42679999999</v>
      </c>
      <c r="L102" s="800">
        <f>+H102*'TIEN LUONG'!D98</f>
        <v>0</v>
      </c>
      <c r="M102" s="338">
        <f>I102*'TIEN LUONG'!D98</f>
        <v>0</v>
      </c>
      <c r="N102" s="800">
        <f>J102*'TIEN LUONG'!D98</f>
        <v>9984719.6099999994</v>
      </c>
      <c r="O102" s="800">
        <f>+K102*'TIEN LUONG'!D98</f>
        <v>1902162.8411999999</v>
      </c>
    </row>
    <row r="103" spans="2:15">
      <c r="B103" s="196"/>
      <c r="H103" s="788"/>
      <c r="I103" s="776">
        <f>'Gia VT'!D45</f>
        <v>3090000</v>
      </c>
      <c r="J103" s="788"/>
      <c r="K103" s="790"/>
      <c r="L103" s="800">
        <f>+H103*'TIEN LUONG'!D99</f>
        <v>0</v>
      </c>
      <c r="M103" s="338">
        <f>I103*'TIEN LUONG'!D99</f>
        <v>55620000</v>
      </c>
      <c r="N103" s="800">
        <f>J103*'TIEN LUONG'!D99</f>
        <v>0</v>
      </c>
      <c r="O103" s="800">
        <f>+K103*'TIEN LUONG'!D99</f>
        <v>0</v>
      </c>
    </row>
    <row r="104" spans="2:15">
      <c r="B104" s="205" t="s">
        <v>976</v>
      </c>
      <c r="H104" s="788"/>
      <c r="I104" s="338"/>
      <c r="J104" s="800">
        <f>2.81*CDL!R4</f>
        <v>1109413.29</v>
      </c>
      <c r="K104" s="790">
        <f>+(0.12*CDL!N214+0.12*CDL!N214*3%)</f>
        <v>211351.42679999999</v>
      </c>
      <c r="L104" s="800">
        <f>+H104*'TIEN LUONG'!D100</f>
        <v>0</v>
      </c>
      <c r="M104" s="338">
        <f>I104*'TIEN LUONG'!D100</f>
        <v>0</v>
      </c>
      <c r="N104" s="800">
        <f>J104*'TIEN LUONG'!D100</f>
        <v>19969439.219999999</v>
      </c>
      <c r="O104" s="800">
        <f>+K104*'TIEN LUONG'!D100</f>
        <v>3804325.6823999998</v>
      </c>
    </row>
    <row r="105" spans="2:15">
      <c r="B105" s="208" t="s">
        <v>286</v>
      </c>
      <c r="H105" s="208"/>
      <c r="I105" s="208"/>
      <c r="J105" s="208"/>
      <c r="K105" s="208"/>
      <c r="L105" s="208"/>
      <c r="M105" s="208"/>
      <c r="N105" s="208"/>
      <c r="O105" s="208"/>
    </row>
    <row r="106" spans="2:15">
      <c r="B106" s="208" t="s">
        <v>287</v>
      </c>
      <c r="H106" s="208"/>
      <c r="I106" s="208"/>
      <c r="J106" s="208"/>
      <c r="K106" s="208"/>
      <c r="L106" s="208"/>
      <c r="M106" s="208"/>
      <c r="N106" s="208"/>
      <c r="O106" s="208"/>
    </row>
    <row r="107" spans="2:15">
      <c r="B107" s="208" t="s">
        <v>40</v>
      </c>
      <c r="H107" s="355"/>
      <c r="I107" s="355"/>
      <c r="J107" s="200"/>
      <c r="K107" s="200"/>
      <c r="L107" s="357"/>
      <c r="M107" s="202"/>
      <c r="N107" s="357"/>
      <c r="O107" s="343"/>
    </row>
    <row r="108" spans="2:15">
      <c r="B108" s="210">
        <v>1</v>
      </c>
      <c r="H108" s="355">
        <v>840590.88351000007</v>
      </c>
      <c r="I108" s="355">
        <v>0</v>
      </c>
      <c r="J108" s="355">
        <v>463855.2753000001</v>
      </c>
      <c r="K108" s="355">
        <v>46446.081385999998</v>
      </c>
      <c r="L108" s="202">
        <v>7565317.9515900007</v>
      </c>
      <c r="M108" s="202">
        <f>I108*'TIEN LUONG'!D102</f>
        <v>0</v>
      </c>
      <c r="N108" s="202">
        <f>J108*'TIEN LUONG'!D102</f>
        <v>4174697.4777000006</v>
      </c>
      <c r="O108" s="202">
        <f>'TIEN LUONG'!D102*K108</f>
        <v>418014.73247399996</v>
      </c>
    </row>
    <row r="109" spans="2:15">
      <c r="B109" s="106" t="s">
        <v>41</v>
      </c>
      <c r="H109" s="355"/>
      <c r="I109" s="355"/>
      <c r="J109" s="355"/>
      <c r="K109" s="355"/>
      <c r="L109" s="202"/>
      <c r="M109" s="202"/>
      <c r="N109" s="202"/>
      <c r="O109" s="202"/>
    </row>
    <row r="110" spans="2:15">
      <c r="B110" s="205">
        <v>1</v>
      </c>
      <c r="H110" s="355">
        <v>0</v>
      </c>
      <c r="I110" s="355">
        <v>781308.8</v>
      </c>
      <c r="J110" s="355">
        <v>203590.13800000001</v>
      </c>
      <c r="K110" s="355">
        <v>2005.4749999999999</v>
      </c>
      <c r="L110" s="202">
        <v>0</v>
      </c>
      <c r="M110" s="202">
        <f>I110*'TIEN LUONG'!D104</f>
        <v>5469161.6000000006</v>
      </c>
      <c r="N110" s="202">
        <f>J110*'TIEN LUONG'!D104</f>
        <v>1425130.966</v>
      </c>
      <c r="O110" s="202">
        <f>'TIEN LUONG'!D104*K110</f>
        <v>14038.324999999999</v>
      </c>
    </row>
    <row r="111" spans="2:15">
      <c r="B111" s="106" t="s">
        <v>45</v>
      </c>
      <c r="H111" s="356"/>
      <c r="I111" s="356"/>
      <c r="J111" s="356"/>
      <c r="K111" s="356"/>
      <c r="L111" s="202"/>
      <c r="M111" s="202"/>
      <c r="N111" s="202"/>
      <c r="O111" s="202"/>
    </row>
    <row r="112" spans="2:15">
      <c r="B112" s="210">
        <v>1</v>
      </c>
      <c r="H112" s="355">
        <v>0</v>
      </c>
      <c r="I112" s="355">
        <v>2658160</v>
      </c>
      <c r="J112" s="355">
        <v>515491.97700000007</v>
      </c>
      <c r="K112" s="355">
        <v>154199.49930000002</v>
      </c>
      <c r="L112" s="202">
        <v>0</v>
      </c>
      <c r="M112" s="202">
        <f>I112*'TIEN LUONG'!D106</f>
        <v>23923440</v>
      </c>
      <c r="N112" s="202">
        <f>J112*'TIEN LUONG'!D106</f>
        <v>4639427.7930000005</v>
      </c>
      <c r="O112" s="202">
        <f>'TIEN LUONG'!D106*K112</f>
        <v>1387795.4937000002</v>
      </c>
    </row>
    <row r="113" spans="2:15">
      <c r="B113" s="208" t="s">
        <v>46</v>
      </c>
      <c r="H113" s="210"/>
      <c r="I113" s="213"/>
      <c r="J113" s="777"/>
      <c r="K113" s="775"/>
      <c r="L113" s="807">
        <f>SUM(L114:L120)</f>
        <v>0</v>
      </c>
      <c r="M113" s="807">
        <f>SUM(M114:M120)</f>
        <v>28767278</v>
      </c>
      <c r="N113" s="807">
        <f>SUM(N114:N120)</f>
        <v>0</v>
      </c>
      <c r="O113" s="777">
        <f>SUM(O114:O120)</f>
        <v>0</v>
      </c>
    </row>
    <row r="114" spans="2:15">
      <c r="B114" s="875" t="s">
        <v>253</v>
      </c>
      <c r="H114" s="793"/>
      <c r="I114" s="833"/>
      <c r="J114" s="808"/>
      <c r="K114" s="793"/>
      <c r="L114" s="807">
        <f>H114*'TIEN LUONG'!D108</f>
        <v>0</v>
      </c>
      <c r="M114" s="807">
        <v>303200</v>
      </c>
      <c r="N114" s="807">
        <f>J114*'TIEN LUONG'!D108</f>
        <v>0</v>
      </c>
      <c r="O114" s="807">
        <f>K114*'TIEN LUONG'!D108</f>
        <v>0</v>
      </c>
    </row>
    <row r="115" spans="2:15">
      <c r="B115" s="875" t="s">
        <v>590</v>
      </c>
      <c r="H115" s="208"/>
      <c r="I115" s="209"/>
      <c r="J115" s="808"/>
      <c r="K115" s="793"/>
      <c r="L115" s="807">
        <f>H115*'TIEN LUONG'!D109</f>
        <v>0</v>
      </c>
      <c r="M115" s="807">
        <v>315000</v>
      </c>
      <c r="N115" s="807">
        <f>J115*'TIEN LUONG'!D109</f>
        <v>0</v>
      </c>
      <c r="O115" s="807">
        <f>K115*'TIEN LUONG'!D109</f>
        <v>0</v>
      </c>
    </row>
    <row r="116" spans="2:15">
      <c r="B116" s="868" t="s">
        <v>558</v>
      </c>
      <c r="H116" s="210"/>
      <c r="I116" s="867">
        <f>'Gia VT'!D291</f>
        <v>28100</v>
      </c>
      <c r="J116" s="777"/>
      <c r="K116" s="775"/>
      <c r="L116" s="807">
        <f>H116*'TIEN LUONG'!D110</f>
        <v>0</v>
      </c>
      <c r="M116" s="338">
        <f>I116*'TIEN LUONG'!D110</f>
        <v>28100</v>
      </c>
      <c r="N116" s="807">
        <f>J116*'TIEN LUONG'!D110</f>
        <v>0</v>
      </c>
      <c r="O116" s="807">
        <f>K116*'TIEN LUONG'!D110</f>
        <v>0</v>
      </c>
    </row>
    <row r="117" spans="2:15">
      <c r="B117" s="868" t="s">
        <v>647</v>
      </c>
      <c r="H117" s="210"/>
      <c r="I117" s="867">
        <f>'Gia VT'!D216</f>
        <v>37442</v>
      </c>
      <c r="J117" s="777"/>
      <c r="K117" s="775"/>
      <c r="L117" s="807">
        <f>H117*'TIEN LUONG'!D111</f>
        <v>0</v>
      </c>
      <c r="M117" s="338">
        <f>I117*'TIEN LUONG'!D111</f>
        <v>336978</v>
      </c>
      <c r="N117" s="807">
        <f>J117*'TIEN LUONG'!D111</f>
        <v>0</v>
      </c>
      <c r="O117" s="807">
        <f>K117*'TIEN LUONG'!D111</f>
        <v>0</v>
      </c>
    </row>
    <row r="118" spans="2:15">
      <c r="B118" s="868" t="s">
        <v>648</v>
      </c>
      <c r="H118" s="210"/>
      <c r="I118" s="867">
        <f>CDL!F245</f>
        <v>37000</v>
      </c>
      <c r="J118" s="777"/>
      <c r="K118" s="775"/>
      <c r="L118" s="807">
        <f>H118*'TIEN LUONG'!D112</f>
        <v>0</v>
      </c>
      <c r="M118" s="338">
        <f>I118*'TIEN LUONG'!D112</f>
        <v>6919000</v>
      </c>
      <c r="N118" s="807">
        <f>J118*'TIEN LUONG'!D112</f>
        <v>0</v>
      </c>
      <c r="O118" s="807">
        <f>K118*'TIEN LUONG'!D112</f>
        <v>0</v>
      </c>
    </row>
    <row r="119" spans="2:15">
      <c r="B119" s="772" t="s">
        <v>1013</v>
      </c>
      <c r="H119" s="775"/>
      <c r="I119" s="338">
        <f>'Gia VT'!D222</f>
        <v>62500</v>
      </c>
      <c r="J119" s="777"/>
      <c r="K119" s="775"/>
      <c r="L119" s="807">
        <f>H119*'TIEN LUONG'!D113</f>
        <v>0</v>
      </c>
      <c r="M119" s="338">
        <f>I119*'TIEN LUONG'!D113</f>
        <v>2875000</v>
      </c>
      <c r="N119" s="807">
        <f>J119*'TIEN LUONG'!D113</f>
        <v>0</v>
      </c>
      <c r="O119" s="807">
        <f>K119*'TIEN LUONG'!D113</f>
        <v>0</v>
      </c>
    </row>
    <row r="120" spans="2:15">
      <c r="B120" s="772" t="s">
        <v>649</v>
      </c>
      <c r="H120" s="775"/>
      <c r="I120" s="338">
        <f>'Gia VT'!D278</f>
        <v>70000</v>
      </c>
      <c r="J120" s="777"/>
      <c r="K120" s="775"/>
      <c r="L120" s="807">
        <f>H120*'TIEN LUONG'!D114</f>
        <v>0</v>
      </c>
      <c r="M120" s="338">
        <f>I120*'TIEN LUONG'!D114</f>
        <v>17990000</v>
      </c>
      <c r="N120" s="807">
        <f>J120*'TIEN LUONG'!D114</f>
        <v>0</v>
      </c>
      <c r="O120" s="807">
        <f>K120*'TIEN LUONG'!D114</f>
        <v>0</v>
      </c>
    </row>
    <row r="121" spans="2:15">
      <c r="B121" s="106" t="s">
        <v>639</v>
      </c>
      <c r="H121" s="793"/>
      <c r="I121" s="833"/>
      <c r="J121" s="808"/>
      <c r="K121" s="793"/>
      <c r="L121" s="807">
        <f>SUM(L122:L128)</f>
        <v>0</v>
      </c>
      <c r="M121" s="807">
        <f>SUM(M122:M128)</f>
        <v>0</v>
      </c>
      <c r="N121" s="807">
        <f>SUM(N122:N128)</f>
        <v>3795895.4670000002</v>
      </c>
      <c r="O121" s="806">
        <f>SUM(O122:O128)</f>
        <v>1135469.0403000002</v>
      </c>
    </row>
    <row r="122" spans="2:15">
      <c r="B122" s="772" t="s">
        <v>228</v>
      </c>
      <c r="H122" s="775"/>
      <c r="I122" s="788"/>
      <c r="J122" s="777">
        <f>2.73*CDL!R2*0.45</f>
        <v>421766.163</v>
      </c>
      <c r="K122" s="338">
        <f>0.126*CDL!N272*0.45</f>
        <v>126163.22670000001</v>
      </c>
      <c r="L122" s="338">
        <f>H122*'TIEN LUONG'!D116</f>
        <v>0</v>
      </c>
      <c r="M122" s="338">
        <f>I122*'TIEN LUONG'!D116</f>
        <v>0</v>
      </c>
      <c r="N122" s="338">
        <f>J122*'TIEN LUONG'!D116</f>
        <v>3795895.4670000002</v>
      </c>
      <c r="O122" s="338">
        <f>K122*'TIEN LUONG'!D116</f>
        <v>1135469.0403000002</v>
      </c>
    </row>
    <row r="123" spans="2:15">
      <c r="B123" s="772"/>
      <c r="H123" s="775"/>
      <c r="I123" s="788"/>
      <c r="J123" s="777"/>
      <c r="K123" s="775"/>
      <c r="L123" s="338">
        <f>H123*'TIEN LUONG'!D117</f>
        <v>0</v>
      </c>
      <c r="M123" s="338">
        <f>I123*'TIEN LUONG'!D117</f>
        <v>0</v>
      </c>
      <c r="N123" s="338">
        <f>J123*'TIEN LUONG'!D117</f>
        <v>0</v>
      </c>
      <c r="O123" s="338">
        <f>K123*'TIEN LUONG'!D117</f>
        <v>0</v>
      </c>
    </row>
    <row r="124" spans="2:15">
      <c r="B124" s="772"/>
      <c r="H124" s="775"/>
      <c r="I124" s="788"/>
      <c r="J124" s="777"/>
      <c r="K124" s="775"/>
      <c r="L124" s="338">
        <f>H124*'TIEN LUONG'!D118</f>
        <v>0</v>
      </c>
      <c r="M124" s="338">
        <f>I124*'TIEN LUONG'!D118</f>
        <v>0</v>
      </c>
      <c r="N124" s="338">
        <f>J124*'TIEN LUONG'!D118</f>
        <v>0</v>
      </c>
      <c r="O124" s="338">
        <f>K124*'TIEN LUONG'!D118</f>
        <v>0</v>
      </c>
    </row>
    <row r="125" spans="2:15">
      <c r="B125" s="772"/>
      <c r="H125" s="775"/>
      <c r="I125" s="788"/>
      <c r="J125" s="777"/>
      <c r="K125" s="775"/>
      <c r="L125" s="338">
        <f>H125*'TIEN LUONG'!D119</f>
        <v>0</v>
      </c>
      <c r="M125" s="338">
        <f>I125*'TIEN LUONG'!D119</f>
        <v>0</v>
      </c>
      <c r="N125" s="338">
        <f>J125*'TIEN LUONG'!D119</f>
        <v>0</v>
      </c>
      <c r="O125" s="338">
        <f>K125*'TIEN LUONG'!D119</f>
        <v>0</v>
      </c>
    </row>
    <row r="126" spans="2:15">
      <c r="B126" s="772"/>
      <c r="H126" s="775"/>
      <c r="I126" s="788"/>
      <c r="J126" s="777"/>
      <c r="K126" s="775"/>
      <c r="L126" s="338">
        <f>H126*'TIEN LUONG'!D120</f>
        <v>0</v>
      </c>
      <c r="M126" s="338">
        <f>I126*'TIEN LUONG'!D120</f>
        <v>0</v>
      </c>
      <c r="N126" s="338">
        <f>J126*'TIEN LUONG'!D120</f>
        <v>0</v>
      </c>
      <c r="O126" s="338">
        <f>K126*'TIEN LUONG'!D120</f>
        <v>0</v>
      </c>
    </row>
    <row r="127" spans="2:15">
      <c r="B127" s="772"/>
      <c r="H127" s="775"/>
      <c r="I127" s="788"/>
      <c r="J127" s="777"/>
      <c r="K127" s="775"/>
      <c r="L127" s="338">
        <f>H127*'TIEN LUONG'!D121</f>
        <v>0</v>
      </c>
      <c r="M127" s="338">
        <f>I127*'TIEN LUONG'!D121</f>
        <v>0</v>
      </c>
      <c r="N127" s="338">
        <f>J127*'TIEN LUONG'!D121</f>
        <v>0</v>
      </c>
      <c r="O127" s="338">
        <f>K127*'TIEN LUONG'!D121</f>
        <v>0</v>
      </c>
    </row>
    <row r="128" spans="2:15">
      <c r="B128" s="772"/>
      <c r="H128" s="775"/>
      <c r="I128" s="788"/>
      <c r="J128" s="777"/>
      <c r="K128" s="775"/>
      <c r="L128" s="338">
        <f>H128*'TIEN LUONG'!D122</f>
        <v>0</v>
      </c>
      <c r="M128" s="338">
        <f>I128*'TIEN LUONG'!D122</f>
        <v>0</v>
      </c>
      <c r="N128" s="338">
        <f>J128*'TIEN LUONG'!D122</f>
        <v>0</v>
      </c>
      <c r="O128" s="338">
        <f>K128*'TIEN LUONG'!D122</f>
        <v>0</v>
      </c>
    </row>
    <row r="129" spans="2:15">
      <c r="B129" s="32" t="s">
        <v>222</v>
      </c>
      <c r="M129" s="52"/>
      <c r="N129" s="113"/>
      <c r="O129" s="113"/>
    </row>
  </sheetData>
  <printOptions horizontalCentered="1"/>
  <pageMargins left="0.27559055118110198" right="0.196850393700787" top="0.26" bottom="0.28000000000000003" header="0.17" footer="0.118110236220472"/>
  <pageSetup paperSize="9" scale="80" firstPageNumber="4"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DE688-9DC5-49E3-90A8-50B508927002}">
  <dimension ref="A2:H126"/>
  <sheetViews>
    <sheetView topLeftCell="A5" workbookViewId="0">
      <selection activeCell="E37" sqref="E37"/>
    </sheetView>
  </sheetViews>
  <sheetFormatPr defaultRowHeight="15"/>
  <cols>
    <col min="1" max="1" width="10.6640625" style="898" customWidth="1"/>
    <col min="2" max="2" width="61.6640625" style="899" customWidth="1"/>
    <col min="3" max="3" width="32.33203125" style="886" customWidth="1"/>
    <col min="4" max="4" width="19.5" style="900" customWidth="1"/>
    <col min="5" max="5" width="12.83203125" style="886" customWidth="1"/>
    <col min="6" max="16384" width="9.33203125" style="885"/>
  </cols>
  <sheetData>
    <row r="2" spans="1:8" ht="20.25">
      <c r="A2" s="1005" t="s">
        <v>1592</v>
      </c>
      <c r="B2" s="1005"/>
      <c r="C2" s="1005"/>
      <c r="D2" s="1005"/>
      <c r="E2" s="1005"/>
      <c r="F2" s="1005"/>
      <c r="G2" s="1005"/>
      <c r="H2" s="1005"/>
    </row>
    <row r="3" spans="1:8">
      <c r="A3" s="1006"/>
      <c r="B3" s="1006"/>
      <c r="C3" s="1006"/>
      <c r="D3" s="1006"/>
    </row>
    <row r="5" spans="1:8" ht="298.5" customHeight="1">
      <c r="A5" s="887" t="s">
        <v>1593</v>
      </c>
      <c r="B5" s="888" t="s">
        <v>1594</v>
      </c>
      <c r="C5" s="887" t="s">
        <v>1595</v>
      </c>
      <c r="D5" s="889" t="s">
        <v>1596</v>
      </c>
      <c r="E5" s="887" t="s">
        <v>1597</v>
      </c>
    </row>
    <row r="6" spans="1:8" s="893" customFormat="1" ht="51" customHeight="1">
      <c r="A6" s="890" t="s">
        <v>1598</v>
      </c>
      <c r="B6" s="891" t="s">
        <v>1599</v>
      </c>
      <c r="C6" s="890" t="s">
        <v>1600</v>
      </c>
      <c r="D6" s="892" t="s">
        <v>1601</v>
      </c>
      <c r="E6" s="890" t="s">
        <v>1602</v>
      </c>
    </row>
    <row r="7" spans="1:8" s="894" customFormat="1" ht="24.95" customHeight="1">
      <c r="A7" s="442">
        <v>1</v>
      </c>
      <c r="B7" s="902" t="s">
        <v>675</v>
      </c>
      <c r="C7" s="421" t="s">
        <v>1603</v>
      </c>
      <c r="D7" s="903">
        <v>0</v>
      </c>
      <c r="E7" s="425">
        <v>0</v>
      </c>
    </row>
    <row r="8" spans="1:8" s="893" customFormat="1" ht="24.95" customHeight="1">
      <c r="A8" s="442">
        <v>2</v>
      </c>
      <c r="B8" s="836" t="s">
        <v>584</v>
      </c>
      <c r="C8" s="421" t="s">
        <v>1603</v>
      </c>
      <c r="D8" s="422">
        <v>22</v>
      </c>
      <c r="E8" s="421" t="s">
        <v>591</v>
      </c>
    </row>
    <row r="9" spans="1:8" s="893" customFormat="1" ht="24.95" customHeight="1">
      <c r="A9" s="442">
        <v>3</v>
      </c>
      <c r="B9" s="836" t="s">
        <v>816</v>
      </c>
      <c r="C9" s="421" t="s">
        <v>1603</v>
      </c>
      <c r="D9" s="422">
        <v>4</v>
      </c>
      <c r="E9" s="421" t="s">
        <v>591</v>
      </c>
    </row>
    <row r="10" spans="1:8" s="893" customFormat="1" ht="24.95" customHeight="1">
      <c r="A10" s="442">
        <v>4</v>
      </c>
      <c r="B10" s="902" t="s">
        <v>674</v>
      </c>
      <c r="C10" s="421" t="s">
        <v>1603</v>
      </c>
      <c r="D10" s="903">
        <v>0</v>
      </c>
      <c r="E10" s="425">
        <v>0</v>
      </c>
    </row>
    <row r="11" spans="1:8" s="893" customFormat="1" ht="24.95" customHeight="1">
      <c r="A11" s="442">
        <v>5</v>
      </c>
      <c r="B11" s="836" t="s">
        <v>668</v>
      </c>
      <c r="C11" s="421" t="s">
        <v>1603</v>
      </c>
      <c r="D11" s="422">
        <v>38</v>
      </c>
      <c r="E11" s="421" t="s">
        <v>87</v>
      </c>
    </row>
    <row r="12" spans="1:8" s="893" customFormat="1" ht="24.95" customHeight="1">
      <c r="A12" s="442">
        <v>6</v>
      </c>
      <c r="B12" s="902" t="s">
        <v>604</v>
      </c>
      <c r="C12" s="421" t="s">
        <v>1603</v>
      </c>
      <c r="D12" s="903">
        <v>0</v>
      </c>
      <c r="E12" s="425">
        <v>0</v>
      </c>
    </row>
    <row r="13" spans="1:8" s="893" customFormat="1" ht="24.95" customHeight="1">
      <c r="A13" s="442">
        <v>7</v>
      </c>
      <c r="B13" s="836" t="s">
        <v>1138</v>
      </c>
      <c r="C13" s="421" t="s">
        <v>1603</v>
      </c>
      <c r="D13" s="422">
        <v>22</v>
      </c>
      <c r="E13" s="421" t="s">
        <v>90</v>
      </c>
      <c r="F13" s="895"/>
    </row>
    <row r="14" spans="1:8" s="893" customFormat="1" ht="24.95" customHeight="1">
      <c r="A14" s="442">
        <v>8</v>
      </c>
      <c r="B14" s="836" t="s">
        <v>1140</v>
      </c>
      <c r="C14" s="421" t="s">
        <v>1603</v>
      </c>
      <c r="D14" s="422">
        <v>4</v>
      </c>
      <c r="E14" s="421" t="s">
        <v>90</v>
      </c>
    </row>
    <row r="15" spans="1:8" s="893" customFormat="1" ht="24.95" customHeight="1">
      <c r="A15" s="442">
        <v>9</v>
      </c>
      <c r="B15" s="902" t="s">
        <v>20</v>
      </c>
      <c r="C15" s="421" t="s">
        <v>1603</v>
      </c>
      <c r="D15" s="903">
        <v>0</v>
      </c>
      <c r="E15" s="425">
        <v>0</v>
      </c>
    </row>
    <row r="16" spans="1:8" s="893" customFormat="1" ht="24.95" customHeight="1">
      <c r="A16" s="442">
        <v>10</v>
      </c>
      <c r="B16" s="836" t="s">
        <v>611</v>
      </c>
      <c r="C16" s="421" t="s">
        <v>1603</v>
      </c>
      <c r="D16" s="419">
        <v>2</v>
      </c>
      <c r="E16" s="421" t="s">
        <v>87</v>
      </c>
    </row>
    <row r="17" spans="1:5" s="893" customFormat="1" ht="24.95" customHeight="1">
      <c r="A17" s="442">
        <v>11</v>
      </c>
      <c r="B17" s="836" t="s">
        <v>612</v>
      </c>
      <c r="C17" s="421" t="s">
        <v>1603</v>
      </c>
      <c r="D17" s="419">
        <v>8</v>
      </c>
      <c r="E17" s="421" t="s">
        <v>87</v>
      </c>
    </row>
    <row r="18" spans="1:5" s="893" customFormat="1" ht="24.95" customHeight="1">
      <c r="A18" s="442">
        <v>12</v>
      </c>
      <c r="B18" s="836" t="s">
        <v>609</v>
      </c>
      <c r="C18" s="421" t="s">
        <v>1603</v>
      </c>
      <c r="D18" s="419">
        <v>1</v>
      </c>
      <c r="E18" s="421" t="s">
        <v>87</v>
      </c>
    </row>
    <row r="19" spans="1:5" s="893" customFormat="1" ht="24.95" customHeight="1">
      <c r="A19" s="442">
        <v>13</v>
      </c>
      <c r="B19" s="836" t="s">
        <v>956</v>
      </c>
      <c r="C19" s="421" t="s">
        <v>1603</v>
      </c>
      <c r="D19" s="419">
        <v>45</v>
      </c>
      <c r="E19" s="421" t="s">
        <v>87</v>
      </c>
    </row>
    <row r="20" spans="1:5" s="893" customFormat="1" ht="24.95" customHeight="1">
      <c r="A20" s="442">
        <v>14</v>
      </c>
      <c r="B20" s="836" t="s">
        <v>959</v>
      </c>
      <c r="C20" s="421" t="s">
        <v>1603</v>
      </c>
      <c r="D20" s="419">
        <v>4</v>
      </c>
      <c r="E20" s="421" t="s">
        <v>87</v>
      </c>
    </row>
    <row r="21" spans="1:5" s="893" customFormat="1" ht="24.95" customHeight="1">
      <c r="A21" s="442">
        <v>15</v>
      </c>
      <c r="B21" s="836" t="s">
        <v>613</v>
      </c>
      <c r="C21" s="421" t="s">
        <v>1603</v>
      </c>
      <c r="D21" s="419">
        <v>2</v>
      </c>
      <c r="E21" s="421" t="s">
        <v>87</v>
      </c>
    </row>
    <row r="22" spans="1:5" s="893" customFormat="1" ht="24.95" customHeight="1">
      <c r="A22" s="442">
        <v>16</v>
      </c>
      <c r="B22" s="836" t="s">
        <v>585</v>
      </c>
      <c r="C22" s="421" t="s">
        <v>1603</v>
      </c>
      <c r="D22" s="419">
        <v>1</v>
      </c>
      <c r="E22" s="421" t="s">
        <v>87</v>
      </c>
    </row>
    <row r="23" spans="1:5" s="893" customFormat="1" ht="24.95" customHeight="1">
      <c r="A23" s="442">
        <v>17</v>
      </c>
      <c r="B23" s="902" t="s">
        <v>170</v>
      </c>
      <c r="C23" s="421" t="s">
        <v>1603</v>
      </c>
      <c r="D23" s="903">
        <v>0</v>
      </c>
      <c r="E23" s="425">
        <v>0</v>
      </c>
    </row>
    <row r="24" spans="1:5" s="893" customFormat="1" ht="24.95" customHeight="1">
      <c r="A24" s="442">
        <v>18</v>
      </c>
      <c r="B24" s="837" t="s">
        <v>269</v>
      </c>
      <c r="C24" s="421" t="s">
        <v>1603</v>
      </c>
      <c r="D24" s="903">
        <v>0</v>
      </c>
      <c r="E24" s="425">
        <v>0</v>
      </c>
    </row>
    <row r="25" spans="1:5" s="893" customFormat="1" ht="24.95" customHeight="1">
      <c r="A25" s="442">
        <v>19</v>
      </c>
      <c r="B25" s="904" t="s">
        <v>962</v>
      </c>
      <c r="C25" s="421" t="s">
        <v>1603</v>
      </c>
      <c r="D25" s="905">
        <v>132</v>
      </c>
      <c r="E25" s="905" t="s">
        <v>99</v>
      </c>
    </row>
    <row r="26" spans="1:5" s="893" customFormat="1" ht="24.95" customHeight="1">
      <c r="A26" s="442">
        <v>20</v>
      </c>
      <c r="B26" s="904" t="s">
        <v>1555</v>
      </c>
      <c r="C26" s="421" t="s">
        <v>1603</v>
      </c>
      <c r="D26" s="905">
        <v>44</v>
      </c>
      <c r="E26" s="905" t="s">
        <v>99</v>
      </c>
    </row>
    <row r="27" spans="1:5" s="893" customFormat="1" ht="24.95" customHeight="1">
      <c r="A27" s="442">
        <v>21</v>
      </c>
      <c r="B27" s="904" t="s">
        <v>1553</v>
      </c>
      <c r="C27" s="421" t="s">
        <v>1603</v>
      </c>
      <c r="D27" s="905">
        <v>72</v>
      </c>
      <c r="E27" s="905" t="s">
        <v>99</v>
      </c>
    </row>
    <row r="28" spans="1:5" s="893" customFormat="1" ht="24.95" customHeight="1">
      <c r="A28" s="442">
        <v>22</v>
      </c>
      <c r="B28" s="904" t="s">
        <v>1554</v>
      </c>
      <c r="C28" s="421" t="s">
        <v>1603</v>
      </c>
      <c r="D28" s="905">
        <v>24</v>
      </c>
      <c r="E28" s="905" t="s">
        <v>99</v>
      </c>
    </row>
    <row r="29" spans="1:5" s="893" customFormat="1" ht="24.95" customHeight="1">
      <c r="A29" s="442">
        <v>23</v>
      </c>
      <c r="B29" s="906" t="s">
        <v>702</v>
      </c>
      <c r="C29" s="421" t="s">
        <v>1603</v>
      </c>
      <c r="D29" s="907">
        <v>137.69999999999999</v>
      </c>
      <c r="E29" s="442" t="s">
        <v>99</v>
      </c>
    </row>
    <row r="30" spans="1:5" s="893" customFormat="1" ht="24.95" customHeight="1">
      <c r="A30" s="442">
        <v>24</v>
      </c>
      <c r="B30" s="906" t="s">
        <v>1150</v>
      </c>
      <c r="C30" s="421" t="s">
        <v>1603</v>
      </c>
      <c r="D30" s="908">
        <v>0.13500000000000001</v>
      </c>
      <c r="E30" s="442" t="s">
        <v>1149</v>
      </c>
    </row>
    <row r="31" spans="1:5" s="893" customFormat="1" ht="24.95" customHeight="1">
      <c r="A31" s="442">
        <v>25</v>
      </c>
      <c r="B31" s="906" t="s">
        <v>823</v>
      </c>
      <c r="C31" s="421" t="s">
        <v>1603</v>
      </c>
      <c r="D31" s="442">
        <v>208.08</v>
      </c>
      <c r="E31" s="442" t="s">
        <v>99</v>
      </c>
    </row>
    <row r="32" spans="1:5" s="893" customFormat="1" ht="24.95" customHeight="1">
      <c r="A32" s="442">
        <v>26</v>
      </c>
      <c r="B32" s="906" t="s">
        <v>964</v>
      </c>
      <c r="C32" s="421" t="s">
        <v>1603</v>
      </c>
      <c r="D32" s="442">
        <v>0.20399999999999999</v>
      </c>
      <c r="E32" s="442" t="s">
        <v>1149</v>
      </c>
    </row>
    <row r="33" spans="1:5" s="893" customFormat="1" ht="24.95" customHeight="1">
      <c r="A33" s="442">
        <v>27</v>
      </c>
      <c r="B33" s="909" t="s">
        <v>628</v>
      </c>
      <c r="C33" s="421" t="s">
        <v>1603</v>
      </c>
      <c r="D33" s="910">
        <v>42</v>
      </c>
      <c r="E33" s="911" t="s">
        <v>87</v>
      </c>
    </row>
    <row r="34" spans="1:5" s="893" customFormat="1" ht="24.95" customHeight="1">
      <c r="A34" s="442">
        <v>28</v>
      </c>
      <c r="B34" s="912" t="s">
        <v>967</v>
      </c>
      <c r="C34" s="421" t="s">
        <v>1603</v>
      </c>
      <c r="D34" s="913">
        <v>12</v>
      </c>
      <c r="E34" s="911" t="s">
        <v>87</v>
      </c>
    </row>
    <row r="35" spans="1:5" s="893" customFormat="1" ht="24.95" customHeight="1">
      <c r="A35" s="442">
        <v>29</v>
      </c>
      <c r="B35" s="912" t="s">
        <v>969</v>
      </c>
      <c r="C35" s="421" t="s">
        <v>1603</v>
      </c>
      <c r="D35" s="913">
        <v>6</v>
      </c>
      <c r="E35" s="911" t="s">
        <v>87</v>
      </c>
    </row>
    <row r="36" spans="1:5" s="893" customFormat="1" ht="24.95" customHeight="1">
      <c r="A36" s="442">
        <v>30</v>
      </c>
      <c r="B36" s="909" t="s">
        <v>995</v>
      </c>
      <c r="C36" s="421" t="s">
        <v>1603</v>
      </c>
      <c r="D36" s="910">
        <v>12</v>
      </c>
      <c r="E36" s="911" t="s">
        <v>87</v>
      </c>
    </row>
    <row r="37" spans="1:5" s="893" customFormat="1" ht="24.95" customHeight="1">
      <c r="A37" s="442">
        <v>31</v>
      </c>
      <c r="B37" s="912" t="s">
        <v>1610</v>
      </c>
      <c r="C37" s="421" t="s">
        <v>1603</v>
      </c>
      <c r="D37" s="913">
        <v>117</v>
      </c>
      <c r="E37" s="911" t="s">
        <v>87</v>
      </c>
    </row>
    <row r="38" spans="1:5" s="893" customFormat="1" ht="24.95" customHeight="1">
      <c r="A38" s="442">
        <v>32</v>
      </c>
      <c r="B38" s="912" t="s">
        <v>1560</v>
      </c>
      <c r="C38" s="421" t="s">
        <v>1603</v>
      </c>
      <c r="D38" s="913">
        <v>85</v>
      </c>
      <c r="E38" s="911" t="s">
        <v>87</v>
      </c>
    </row>
    <row r="39" spans="1:5" s="893" customFormat="1" ht="24.95" customHeight="1">
      <c r="A39" s="442">
        <v>33</v>
      </c>
      <c r="B39" s="914" t="s">
        <v>621</v>
      </c>
      <c r="C39" s="421" t="s">
        <v>1603</v>
      </c>
      <c r="D39" s="915">
        <v>54</v>
      </c>
      <c r="E39" s="916" t="s">
        <v>87</v>
      </c>
    </row>
    <row r="40" spans="1:5" s="893" customFormat="1" ht="24.95" customHeight="1">
      <c r="A40" s="442">
        <v>34</v>
      </c>
      <c r="B40" s="902" t="s">
        <v>283</v>
      </c>
      <c r="C40" s="421" t="s">
        <v>1603</v>
      </c>
      <c r="D40" s="903">
        <v>0</v>
      </c>
      <c r="E40" s="425">
        <v>0</v>
      </c>
    </row>
    <row r="41" spans="1:5" s="893" customFormat="1" ht="24.95" customHeight="1">
      <c r="A41" s="442">
        <v>35</v>
      </c>
      <c r="B41" s="836" t="s">
        <v>625</v>
      </c>
      <c r="C41" s="421" t="s">
        <v>1603</v>
      </c>
      <c r="D41" s="427">
        <v>3</v>
      </c>
      <c r="E41" s="442" t="s">
        <v>86</v>
      </c>
    </row>
    <row r="42" spans="1:5" s="893" customFormat="1" ht="24.95" customHeight="1">
      <c r="A42" s="442">
        <v>36</v>
      </c>
      <c r="B42" s="836" t="s">
        <v>624</v>
      </c>
      <c r="C42" s="421" t="s">
        <v>1603</v>
      </c>
      <c r="D42" s="427">
        <v>3</v>
      </c>
      <c r="E42" s="442" t="s">
        <v>86</v>
      </c>
    </row>
    <row r="43" spans="1:5" s="893" customFormat="1" ht="24.95" customHeight="1">
      <c r="A43" s="442">
        <v>37</v>
      </c>
      <c r="B43" s="917" t="s">
        <v>971</v>
      </c>
      <c r="C43" s="421" t="s">
        <v>1603</v>
      </c>
      <c r="D43" s="918">
        <v>51</v>
      </c>
      <c r="E43" s="442" t="s">
        <v>86</v>
      </c>
    </row>
    <row r="44" spans="1:5" s="893" customFormat="1" ht="24.95" customHeight="1">
      <c r="A44" s="442">
        <v>38</v>
      </c>
      <c r="B44" s="917" t="s">
        <v>1061</v>
      </c>
      <c r="C44" s="421" t="s">
        <v>1603</v>
      </c>
      <c r="D44" s="918">
        <v>3</v>
      </c>
      <c r="E44" s="442" t="s">
        <v>86</v>
      </c>
    </row>
    <row r="45" spans="1:5" s="893" customFormat="1" ht="24.95" customHeight="1">
      <c r="A45" s="442">
        <v>39</v>
      </c>
      <c r="B45" s="917" t="s">
        <v>1062</v>
      </c>
      <c r="C45" s="421" t="s">
        <v>1603</v>
      </c>
      <c r="D45" s="918">
        <v>6</v>
      </c>
      <c r="E45" s="442" t="s">
        <v>86</v>
      </c>
    </row>
    <row r="46" spans="1:5" s="893" customFormat="1" ht="24.95" customHeight="1">
      <c r="A46" s="442">
        <v>40</v>
      </c>
      <c r="B46" s="836" t="s">
        <v>973</v>
      </c>
      <c r="C46" s="421" t="s">
        <v>1603</v>
      </c>
      <c r="D46" s="427">
        <v>24</v>
      </c>
      <c r="E46" s="442" t="s">
        <v>86</v>
      </c>
    </row>
    <row r="47" spans="1:5" s="893" customFormat="1" ht="24.95" customHeight="1">
      <c r="A47" s="442">
        <v>41</v>
      </c>
      <c r="B47" s="836" t="s">
        <v>972</v>
      </c>
      <c r="C47" s="421" t="s">
        <v>1603</v>
      </c>
      <c r="D47" s="427">
        <v>5</v>
      </c>
      <c r="E47" s="442" t="s">
        <v>86</v>
      </c>
    </row>
    <row r="48" spans="1:5" s="893" customFormat="1" ht="24.95" customHeight="1">
      <c r="A48" s="442">
        <v>42</v>
      </c>
      <c r="B48" s="836" t="s">
        <v>985</v>
      </c>
      <c r="C48" s="421" t="s">
        <v>1603</v>
      </c>
      <c r="D48" s="427">
        <v>63</v>
      </c>
      <c r="E48" s="442" t="s">
        <v>86</v>
      </c>
    </row>
    <row r="49" spans="1:5" s="893" customFormat="1" ht="24.95" customHeight="1">
      <c r="A49" s="442">
        <v>43</v>
      </c>
      <c r="B49" s="836" t="s">
        <v>986</v>
      </c>
      <c r="C49" s="421" t="s">
        <v>1603</v>
      </c>
      <c r="D49" s="427">
        <v>14</v>
      </c>
      <c r="E49" s="442" t="s">
        <v>86</v>
      </c>
    </row>
    <row r="50" spans="1:5" s="893" customFormat="1" ht="24.95" customHeight="1">
      <c r="A50" s="442">
        <v>44</v>
      </c>
      <c r="B50" s="836" t="s">
        <v>720</v>
      </c>
      <c r="C50" s="421" t="s">
        <v>1603</v>
      </c>
      <c r="D50" s="427">
        <v>42</v>
      </c>
      <c r="E50" s="442" t="s">
        <v>86</v>
      </c>
    </row>
    <row r="51" spans="1:5" s="893" customFormat="1" ht="24.95" customHeight="1">
      <c r="A51" s="442">
        <v>45</v>
      </c>
      <c r="B51" s="836" t="s">
        <v>717</v>
      </c>
      <c r="C51" s="421" t="s">
        <v>1603</v>
      </c>
      <c r="D51" s="427">
        <v>51</v>
      </c>
      <c r="E51" s="442" t="s">
        <v>109</v>
      </c>
    </row>
    <row r="52" spans="1:5" s="893" customFormat="1" ht="24.95" customHeight="1">
      <c r="A52" s="442">
        <v>46</v>
      </c>
      <c r="B52" s="836" t="s">
        <v>718</v>
      </c>
      <c r="C52" s="421" t="s">
        <v>1603</v>
      </c>
      <c r="D52" s="427">
        <v>53</v>
      </c>
      <c r="E52" s="442" t="s">
        <v>109</v>
      </c>
    </row>
    <row r="53" spans="1:5" s="893" customFormat="1" ht="34.5" customHeight="1">
      <c r="A53" s="442">
        <v>47</v>
      </c>
      <c r="B53" s="836" t="s">
        <v>987</v>
      </c>
      <c r="C53" s="421" t="s">
        <v>1603</v>
      </c>
      <c r="D53" s="427">
        <v>211.5</v>
      </c>
      <c r="E53" s="442" t="s">
        <v>99</v>
      </c>
    </row>
    <row r="54" spans="1:5" s="893" customFormat="1" ht="24.95" customHeight="1">
      <c r="A54" s="442">
        <v>48</v>
      </c>
      <c r="B54" s="836" t="s">
        <v>1552</v>
      </c>
      <c r="C54" s="421" t="s">
        <v>1603</v>
      </c>
      <c r="D54" s="427">
        <v>94</v>
      </c>
      <c r="E54" s="442" t="s">
        <v>87</v>
      </c>
    </row>
    <row r="55" spans="1:5" s="893" customFormat="1" ht="24.95" customHeight="1">
      <c r="A55" s="442">
        <v>49</v>
      </c>
      <c r="B55" s="902" t="s">
        <v>980</v>
      </c>
      <c r="C55" s="421" t="s">
        <v>1603</v>
      </c>
      <c r="D55" s="903">
        <v>0</v>
      </c>
      <c r="E55" s="425">
        <v>0</v>
      </c>
    </row>
    <row r="56" spans="1:5" s="893" customFormat="1" ht="35.1" customHeight="1">
      <c r="A56" s="442">
        <v>50</v>
      </c>
      <c r="B56" s="836" t="s">
        <v>981</v>
      </c>
      <c r="C56" s="421" t="s">
        <v>1603</v>
      </c>
      <c r="D56" s="427">
        <v>27</v>
      </c>
      <c r="E56" s="442" t="s">
        <v>87</v>
      </c>
    </row>
    <row r="57" spans="1:5" s="893" customFormat="1" ht="35.1" customHeight="1">
      <c r="A57" s="442">
        <v>51</v>
      </c>
      <c r="B57" s="836" t="s">
        <v>988</v>
      </c>
      <c r="C57" s="421" t="s">
        <v>1603</v>
      </c>
      <c r="D57" s="427">
        <v>27</v>
      </c>
      <c r="E57" s="442" t="s">
        <v>990</v>
      </c>
    </row>
    <row r="58" spans="1:5" s="893" customFormat="1" ht="35.1" customHeight="1">
      <c r="A58" s="442">
        <v>52</v>
      </c>
      <c r="B58" s="836" t="s">
        <v>982</v>
      </c>
      <c r="C58" s="421" t="s">
        <v>1603</v>
      </c>
      <c r="D58" s="427">
        <v>6</v>
      </c>
      <c r="E58" s="442" t="s">
        <v>87</v>
      </c>
    </row>
    <row r="59" spans="1:5" s="893" customFormat="1" ht="35.1" customHeight="1">
      <c r="A59" s="442">
        <v>53</v>
      </c>
      <c r="B59" s="836" t="s">
        <v>1152</v>
      </c>
      <c r="C59" s="421" t="s">
        <v>1603</v>
      </c>
      <c r="D59" s="427">
        <v>6</v>
      </c>
      <c r="E59" s="442" t="s">
        <v>990</v>
      </c>
    </row>
    <row r="60" spans="1:5" s="893" customFormat="1" ht="35.1" customHeight="1">
      <c r="A60" s="442">
        <v>54</v>
      </c>
      <c r="B60" s="836" t="s">
        <v>983</v>
      </c>
      <c r="C60" s="421" t="s">
        <v>1603</v>
      </c>
      <c r="D60" s="427">
        <v>12</v>
      </c>
      <c r="E60" s="442" t="s">
        <v>87</v>
      </c>
    </row>
    <row r="61" spans="1:5" s="893" customFormat="1" ht="35.1" customHeight="1">
      <c r="A61" s="442">
        <v>55</v>
      </c>
      <c r="B61" s="836" t="s">
        <v>1215</v>
      </c>
      <c r="C61" s="421" t="s">
        <v>1603</v>
      </c>
      <c r="D61" s="427">
        <v>12</v>
      </c>
      <c r="E61" s="442" t="s">
        <v>990</v>
      </c>
    </row>
    <row r="62" spans="1:5" s="893" customFormat="1" ht="35.1" customHeight="1">
      <c r="A62" s="442">
        <v>56</v>
      </c>
      <c r="B62" s="836" t="s">
        <v>984</v>
      </c>
      <c r="C62" s="421" t="s">
        <v>1603</v>
      </c>
      <c r="D62" s="427">
        <v>6</v>
      </c>
      <c r="E62" s="442" t="s">
        <v>87</v>
      </c>
    </row>
    <row r="63" spans="1:5" s="893" customFormat="1" ht="24.95" customHeight="1">
      <c r="A63" s="442">
        <v>57</v>
      </c>
      <c r="B63" s="836" t="s">
        <v>1153</v>
      </c>
      <c r="C63" s="421" t="s">
        <v>1603</v>
      </c>
      <c r="D63" s="427">
        <v>6</v>
      </c>
      <c r="E63" s="442" t="s">
        <v>990</v>
      </c>
    </row>
    <row r="64" spans="1:5" s="893" customFormat="1" ht="24.95" customHeight="1">
      <c r="A64" s="442">
        <v>58</v>
      </c>
      <c r="B64" s="912" t="s">
        <v>979</v>
      </c>
      <c r="C64" s="421" t="s">
        <v>1603</v>
      </c>
      <c r="D64" s="919">
        <v>17</v>
      </c>
      <c r="E64" s="920" t="s">
        <v>87</v>
      </c>
    </row>
    <row r="65" spans="1:5" s="895" customFormat="1" ht="24.95" customHeight="1">
      <c r="A65" s="442">
        <v>59</v>
      </c>
      <c r="B65" s="921" t="s">
        <v>271</v>
      </c>
      <c r="C65" s="421" t="s">
        <v>1603</v>
      </c>
      <c r="D65" s="903">
        <v>0</v>
      </c>
      <c r="E65" s="425">
        <v>0</v>
      </c>
    </row>
    <row r="66" spans="1:5" s="893" customFormat="1" ht="24.95" customHeight="1">
      <c r="A66" s="442">
        <v>60</v>
      </c>
      <c r="B66" s="424" t="s">
        <v>1561</v>
      </c>
      <c r="C66" s="421" t="s">
        <v>1603</v>
      </c>
      <c r="D66" s="417">
        <f>'TK TA'!AY146</f>
        <v>99</v>
      </c>
      <c r="E66" s="923" t="s">
        <v>99</v>
      </c>
    </row>
    <row r="67" spans="1:5" s="893" customFormat="1" ht="24.95" customHeight="1">
      <c r="A67" s="442">
        <v>61</v>
      </c>
      <c r="B67" s="924" t="s">
        <v>1562</v>
      </c>
      <c r="C67" s="421" t="s">
        <v>1603</v>
      </c>
      <c r="D67" s="925">
        <f>'TK TA'!AZ146</f>
        <v>33</v>
      </c>
      <c r="E67" s="926" t="s">
        <v>99</v>
      </c>
    </row>
    <row r="68" spans="1:5" s="893" customFormat="1" ht="24.95" customHeight="1">
      <c r="A68" s="442">
        <v>62</v>
      </c>
      <c r="B68" s="924" t="s">
        <v>1563</v>
      </c>
      <c r="C68" s="421" t="s">
        <v>1603</v>
      </c>
      <c r="D68" s="925">
        <f>'TK TA'!BA146</f>
        <v>54</v>
      </c>
      <c r="E68" s="926" t="s">
        <v>99</v>
      </c>
    </row>
    <row r="69" spans="1:5" s="893" customFormat="1" ht="24.95" customHeight="1">
      <c r="A69" s="442">
        <v>63</v>
      </c>
      <c r="B69" s="924" t="s">
        <v>1564</v>
      </c>
      <c r="C69" s="421" t="s">
        <v>1603</v>
      </c>
      <c r="D69" s="925">
        <f>'TK TA'!BB146</f>
        <v>18</v>
      </c>
      <c r="E69" s="926" t="s">
        <v>99</v>
      </c>
    </row>
    <row r="70" spans="1:5" s="893" customFormat="1" ht="24.95" customHeight="1">
      <c r="A70" s="442">
        <v>64</v>
      </c>
      <c r="B70" s="424" t="s">
        <v>1155</v>
      </c>
      <c r="C70" s="421" t="s">
        <v>1603</v>
      </c>
      <c r="D70" s="908">
        <f>'TK TA'!BC146/1000</f>
        <v>0.13500000000000001</v>
      </c>
      <c r="E70" s="923" t="s">
        <v>1149</v>
      </c>
    </row>
    <row r="71" spans="1:5" s="893" customFormat="1" ht="24.95" customHeight="1">
      <c r="A71" s="442">
        <v>65</v>
      </c>
      <c r="B71" s="424" t="s">
        <v>1000</v>
      </c>
      <c r="C71" s="421" t="s">
        <v>1603</v>
      </c>
      <c r="D71" s="908">
        <f>'TK TA'!BD146/1000</f>
        <v>0.20399999999999999</v>
      </c>
      <c r="E71" s="923" t="s">
        <v>1149</v>
      </c>
    </row>
    <row r="72" spans="1:5" s="893" customFormat="1" ht="24.95" customHeight="1">
      <c r="A72" s="442">
        <v>66</v>
      </c>
      <c r="B72" s="424" t="s">
        <v>1001</v>
      </c>
      <c r="C72" s="421" t="s">
        <v>1603</v>
      </c>
      <c r="D72" s="417">
        <f>'TK TA'!BE146</f>
        <v>4</v>
      </c>
      <c r="E72" s="923" t="s">
        <v>90</v>
      </c>
    </row>
    <row r="73" spans="1:5" s="893" customFormat="1" ht="24.95" customHeight="1">
      <c r="A73" s="442">
        <v>67</v>
      </c>
      <c r="B73" s="424" t="s">
        <v>635</v>
      </c>
      <c r="C73" s="421" t="s">
        <v>1603</v>
      </c>
      <c r="D73" s="417">
        <f>'TK TA'!BF146</f>
        <v>22</v>
      </c>
      <c r="E73" s="923" t="s">
        <v>90</v>
      </c>
    </row>
    <row r="74" spans="1:5" s="893" customFormat="1" ht="35.1" customHeight="1">
      <c r="A74" s="442">
        <v>68</v>
      </c>
      <c r="B74" s="424" t="s">
        <v>1565</v>
      </c>
      <c r="C74" s="421" t="s">
        <v>1603</v>
      </c>
      <c r="D74" s="417">
        <f>'TK TA'!BG146</f>
        <v>2</v>
      </c>
      <c r="E74" s="923" t="s">
        <v>87</v>
      </c>
    </row>
    <row r="75" spans="1:5" s="893" customFormat="1" ht="35.1" customHeight="1">
      <c r="A75" s="442">
        <v>69</v>
      </c>
      <c r="B75" s="424" t="s">
        <v>1566</v>
      </c>
      <c r="C75" s="421" t="s">
        <v>1603</v>
      </c>
      <c r="D75" s="417">
        <f>'TK TA'!BH146</f>
        <v>9</v>
      </c>
      <c r="E75" s="923" t="s">
        <v>87</v>
      </c>
    </row>
    <row r="76" spans="1:5" s="893" customFormat="1" ht="35.1" customHeight="1">
      <c r="A76" s="442">
        <v>70</v>
      </c>
      <c r="B76" s="424" t="s">
        <v>1567</v>
      </c>
      <c r="C76" s="421" t="s">
        <v>1603</v>
      </c>
      <c r="D76" s="417">
        <f>'TK TA'!BI146</f>
        <v>1</v>
      </c>
      <c r="E76" s="923" t="s">
        <v>87</v>
      </c>
    </row>
    <row r="77" spans="1:5" s="893" customFormat="1" ht="35.1" customHeight="1">
      <c r="A77" s="442">
        <v>71</v>
      </c>
      <c r="B77" s="424" t="s">
        <v>1568</v>
      </c>
      <c r="C77" s="421" t="s">
        <v>1603</v>
      </c>
      <c r="D77" s="417">
        <f>'TK TA'!BJ146</f>
        <v>45</v>
      </c>
      <c r="E77" s="923" t="s">
        <v>87</v>
      </c>
    </row>
    <row r="78" spans="1:5" s="893" customFormat="1" ht="35.1" customHeight="1">
      <c r="A78" s="442">
        <v>72</v>
      </c>
      <c r="B78" s="424" t="s">
        <v>1569</v>
      </c>
      <c r="C78" s="421" t="s">
        <v>1603</v>
      </c>
      <c r="D78" s="417">
        <f>'TK TA'!BK146</f>
        <v>4</v>
      </c>
      <c r="E78" s="923" t="s">
        <v>87</v>
      </c>
    </row>
    <row r="79" spans="1:5" s="893" customFormat="1" ht="35.1" customHeight="1">
      <c r="A79" s="442">
        <v>73</v>
      </c>
      <c r="B79" s="424" t="s">
        <v>1570</v>
      </c>
      <c r="C79" s="421" t="s">
        <v>1603</v>
      </c>
      <c r="D79" s="417">
        <f>'TK TA'!BL146</f>
        <v>2</v>
      </c>
      <c r="E79" s="923" t="s">
        <v>87</v>
      </c>
    </row>
    <row r="80" spans="1:5" s="893" customFormat="1" ht="24.95" customHeight="1">
      <c r="A80" s="442">
        <v>74</v>
      </c>
      <c r="B80" s="424" t="s">
        <v>1003</v>
      </c>
      <c r="C80" s="421" t="s">
        <v>1603</v>
      </c>
      <c r="D80" s="417">
        <f>'TK TA'!BN146</f>
        <v>42</v>
      </c>
      <c r="E80" s="923" t="s">
        <v>87</v>
      </c>
    </row>
    <row r="81" spans="1:5" s="893" customFormat="1" ht="24.95" customHeight="1">
      <c r="A81" s="442">
        <v>75</v>
      </c>
      <c r="B81" s="424" t="s">
        <v>1004</v>
      </c>
      <c r="C81" s="421" t="s">
        <v>1603</v>
      </c>
      <c r="D81" s="417">
        <f>'TK TA'!BO146</f>
        <v>117</v>
      </c>
      <c r="E81" s="923" t="s">
        <v>87</v>
      </c>
    </row>
    <row r="82" spans="1:5" s="893" customFormat="1" ht="24.95" customHeight="1">
      <c r="A82" s="442">
        <v>76</v>
      </c>
      <c r="B82" s="424" t="s">
        <v>1571</v>
      </c>
      <c r="C82" s="421" t="s">
        <v>1603</v>
      </c>
      <c r="D82" s="417">
        <f>'TK TA'!BU146</f>
        <v>54</v>
      </c>
      <c r="E82" s="923" t="s">
        <v>87</v>
      </c>
    </row>
    <row r="83" spans="1:5" s="895" customFormat="1" ht="35.1" customHeight="1">
      <c r="A83" s="442">
        <v>77</v>
      </c>
      <c r="B83" s="924" t="s">
        <v>1609</v>
      </c>
      <c r="C83" s="691" t="s">
        <v>1603</v>
      </c>
      <c r="D83" s="927">
        <v>0</v>
      </c>
      <c r="E83" s="926" t="s">
        <v>99</v>
      </c>
    </row>
    <row r="84" spans="1:5" s="895" customFormat="1" ht="35.1" customHeight="1">
      <c r="A84" s="442">
        <v>78</v>
      </c>
      <c r="B84" s="924" t="s">
        <v>1573</v>
      </c>
      <c r="C84" s="691" t="s">
        <v>1603</v>
      </c>
      <c r="D84" s="927">
        <v>0</v>
      </c>
      <c r="E84" s="926" t="s">
        <v>99</v>
      </c>
    </row>
    <row r="85" spans="1:5" s="895" customFormat="1" ht="24.95" customHeight="1">
      <c r="A85" s="442">
        <v>79</v>
      </c>
      <c r="B85" s="924" t="s">
        <v>1574</v>
      </c>
      <c r="C85" s="691" t="s">
        <v>1603</v>
      </c>
      <c r="D85" s="927">
        <v>0</v>
      </c>
      <c r="E85" s="926" t="s">
        <v>86</v>
      </c>
    </row>
    <row r="86" spans="1:5" s="895" customFormat="1" ht="24.95" customHeight="1">
      <c r="A86" s="442">
        <v>80</v>
      </c>
      <c r="B86" s="924" t="s">
        <v>1575</v>
      </c>
      <c r="C86" s="691" t="s">
        <v>1603</v>
      </c>
      <c r="D86" s="927">
        <v>0</v>
      </c>
      <c r="E86" s="926" t="s">
        <v>86</v>
      </c>
    </row>
    <row r="87" spans="1:5" s="895" customFormat="1" ht="24.95" customHeight="1">
      <c r="A87" s="442">
        <v>81</v>
      </c>
      <c r="B87" s="924" t="s">
        <v>1576</v>
      </c>
      <c r="C87" s="691" t="s">
        <v>1603</v>
      </c>
      <c r="D87" s="927">
        <v>0</v>
      </c>
      <c r="E87" s="926" t="s">
        <v>86</v>
      </c>
    </row>
    <row r="88" spans="1:5" s="895" customFormat="1" ht="24.95" customHeight="1">
      <c r="A88" s="442">
        <v>82</v>
      </c>
      <c r="B88" s="924" t="s">
        <v>1577</v>
      </c>
      <c r="C88" s="691" t="s">
        <v>1603</v>
      </c>
      <c r="D88" s="927">
        <v>0</v>
      </c>
      <c r="E88" s="926" t="s">
        <v>86</v>
      </c>
    </row>
    <row r="89" spans="1:5" s="895" customFormat="1" ht="24.95" customHeight="1">
      <c r="A89" s="442">
        <v>83</v>
      </c>
      <c r="B89" s="924" t="s">
        <v>1578</v>
      </c>
      <c r="C89" s="691" t="s">
        <v>1603</v>
      </c>
      <c r="D89" s="927">
        <v>0</v>
      </c>
      <c r="E89" s="926" t="s">
        <v>86</v>
      </c>
    </row>
    <row r="90" spans="1:5" s="895" customFormat="1" ht="24.95" customHeight="1">
      <c r="A90" s="442">
        <v>84</v>
      </c>
      <c r="B90" s="924" t="s">
        <v>1579</v>
      </c>
      <c r="C90" s="691" t="s">
        <v>1603</v>
      </c>
      <c r="D90" s="927">
        <v>0</v>
      </c>
      <c r="E90" s="926" t="s">
        <v>86</v>
      </c>
    </row>
    <row r="91" spans="1:5" s="895" customFormat="1" ht="24.95" customHeight="1">
      <c r="A91" s="442">
        <v>85</v>
      </c>
      <c r="B91" s="924" t="s">
        <v>1580</v>
      </c>
      <c r="C91" s="691" t="s">
        <v>1603</v>
      </c>
      <c r="D91" s="927">
        <v>0</v>
      </c>
      <c r="E91" s="926" t="s">
        <v>86</v>
      </c>
    </row>
    <row r="92" spans="1:5" s="895" customFormat="1" ht="24.95" customHeight="1">
      <c r="A92" s="442">
        <v>86</v>
      </c>
      <c r="B92" s="924" t="s">
        <v>1581</v>
      </c>
      <c r="C92" s="691" t="s">
        <v>1603</v>
      </c>
      <c r="D92" s="927">
        <v>0</v>
      </c>
      <c r="E92" s="926" t="s">
        <v>86</v>
      </c>
    </row>
    <row r="93" spans="1:5" s="895" customFormat="1" ht="24.95" customHeight="1">
      <c r="A93" s="442">
        <v>87</v>
      </c>
      <c r="B93" s="924" t="s">
        <v>1582</v>
      </c>
      <c r="C93" s="691" t="s">
        <v>1603</v>
      </c>
      <c r="D93" s="927">
        <v>0</v>
      </c>
      <c r="E93" s="926" t="s">
        <v>86</v>
      </c>
    </row>
    <row r="94" spans="1:5" s="895" customFormat="1" ht="24.95" customHeight="1">
      <c r="A94" s="442">
        <v>88</v>
      </c>
      <c r="B94" s="924" t="s">
        <v>1583</v>
      </c>
      <c r="C94" s="691" t="s">
        <v>1603</v>
      </c>
      <c r="D94" s="927">
        <v>0</v>
      </c>
      <c r="E94" s="926" t="s">
        <v>86</v>
      </c>
    </row>
    <row r="95" spans="1:5" s="893" customFormat="1" ht="24.95" customHeight="1">
      <c r="A95" s="442">
        <v>89</v>
      </c>
      <c r="B95" s="836" t="s">
        <v>719</v>
      </c>
      <c r="C95" s="421" t="s">
        <v>1603</v>
      </c>
      <c r="D95" s="427">
        <f>'TK TA'!AT146</f>
        <v>54</v>
      </c>
      <c r="E95" s="442" t="s">
        <v>87</v>
      </c>
    </row>
    <row r="96" spans="1:5" s="893" customFormat="1" ht="24.95" customHeight="1">
      <c r="A96" s="442">
        <v>90</v>
      </c>
      <c r="B96" s="836" t="s">
        <v>1156</v>
      </c>
      <c r="C96" s="421" t="s">
        <v>1603</v>
      </c>
      <c r="D96" s="427">
        <f>D95</f>
        <v>54</v>
      </c>
      <c r="E96" s="442" t="s">
        <v>51</v>
      </c>
    </row>
    <row r="97" spans="1:5" s="893" customFormat="1" ht="24.95" customHeight="1">
      <c r="A97" s="442">
        <v>91</v>
      </c>
      <c r="B97" s="836" t="s">
        <v>703</v>
      </c>
      <c r="C97" s="421" t="s">
        <v>1603</v>
      </c>
      <c r="D97" s="427">
        <f>'TK TA'!AU146</f>
        <v>9</v>
      </c>
      <c r="E97" s="442" t="s">
        <v>87</v>
      </c>
    </row>
    <row r="98" spans="1:5" s="893" customFormat="1" ht="24.95" customHeight="1">
      <c r="A98" s="442">
        <v>92</v>
      </c>
      <c r="B98" s="917" t="s">
        <v>1157</v>
      </c>
      <c r="C98" s="421" t="s">
        <v>1603</v>
      </c>
      <c r="D98" s="918">
        <f>D97</f>
        <v>9</v>
      </c>
      <c r="E98" s="442" t="s">
        <v>51</v>
      </c>
    </row>
    <row r="99" spans="1:5" s="893" customFormat="1" ht="37.5" customHeight="1">
      <c r="A99" s="442">
        <v>93</v>
      </c>
      <c r="B99" s="836" t="s">
        <v>975</v>
      </c>
      <c r="C99" s="421" t="s">
        <v>1603</v>
      </c>
      <c r="D99" s="427">
        <f>'TK TA'!AV146</f>
        <v>18</v>
      </c>
      <c r="E99" s="442" t="s">
        <v>87</v>
      </c>
    </row>
    <row r="100" spans="1:5" s="893" customFormat="1" ht="24.95" customHeight="1">
      <c r="A100" s="442">
        <v>94</v>
      </c>
      <c r="B100" s="917" t="s">
        <v>1158</v>
      </c>
      <c r="C100" s="421" t="s">
        <v>1603</v>
      </c>
      <c r="D100" s="918">
        <f>D99</f>
        <v>18</v>
      </c>
      <c r="E100" s="442" t="s">
        <v>51</v>
      </c>
    </row>
    <row r="101" spans="1:5" s="893" customFormat="1" ht="24.95" customHeight="1">
      <c r="A101" s="442">
        <v>95</v>
      </c>
      <c r="B101" s="902" t="s">
        <v>162</v>
      </c>
      <c r="C101" s="421" t="s">
        <v>1603</v>
      </c>
      <c r="D101" s="903">
        <v>0</v>
      </c>
      <c r="E101" s="425">
        <v>0</v>
      </c>
    </row>
    <row r="102" spans="1:5" s="893" customFormat="1" ht="24.95" customHeight="1">
      <c r="A102" s="442">
        <v>96</v>
      </c>
      <c r="B102" s="836" t="s">
        <v>878</v>
      </c>
      <c r="C102" s="421" t="s">
        <v>1603</v>
      </c>
      <c r="D102" s="422">
        <v>9</v>
      </c>
      <c r="E102" s="421" t="s">
        <v>591</v>
      </c>
    </row>
    <row r="103" spans="1:5" s="893" customFormat="1" ht="24.95" customHeight="1">
      <c r="A103" s="442">
        <v>97</v>
      </c>
      <c r="B103" s="902" t="s">
        <v>674</v>
      </c>
      <c r="C103" s="421" t="s">
        <v>1603</v>
      </c>
      <c r="D103" s="903">
        <v>0</v>
      </c>
      <c r="E103" s="425">
        <v>0</v>
      </c>
    </row>
    <row r="104" spans="1:5" s="893" customFormat="1" ht="24.95" customHeight="1">
      <c r="A104" s="442">
        <v>98</v>
      </c>
      <c r="B104" s="836" t="s">
        <v>1025</v>
      </c>
      <c r="C104" s="421" t="s">
        <v>1603</v>
      </c>
      <c r="D104" s="422">
        <v>7</v>
      </c>
      <c r="E104" s="421" t="s">
        <v>87</v>
      </c>
    </row>
    <row r="105" spans="1:5" s="893" customFormat="1" ht="24.95" customHeight="1">
      <c r="A105" s="442">
        <v>99</v>
      </c>
      <c r="B105" s="902" t="s">
        <v>604</v>
      </c>
      <c r="C105" s="421" t="s">
        <v>1603</v>
      </c>
      <c r="D105" s="903">
        <v>0</v>
      </c>
      <c r="E105" s="425">
        <v>0</v>
      </c>
    </row>
    <row r="106" spans="1:5" s="893" customFormat="1" ht="24.95" customHeight="1">
      <c r="A106" s="442">
        <v>100</v>
      </c>
      <c r="B106" s="836" t="s">
        <v>955</v>
      </c>
      <c r="C106" s="421" t="s">
        <v>1603</v>
      </c>
      <c r="D106" s="422">
        <v>9</v>
      </c>
      <c r="E106" s="421" t="s">
        <v>90</v>
      </c>
    </row>
    <row r="107" spans="1:5" s="893" customFormat="1" ht="24.95" customHeight="1">
      <c r="A107" s="442">
        <v>101</v>
      </c>
      <c r="B107" s="837" t="s">
        <v>260</v>
      </c>
      <c r="C107" s="421" t="s">
        <v>1603</v>
      </c>
      <c r="D107" s="903">
        <v>0</v>
      </c>
      <c r="E107" s="425">
        <v>0</v>
      </c>
    </row>
    <row r="108" spans="1:5" s="893" customFormat="1" ht="24.95" customHeight="1">
      <c r="A108" s="442">
        <v>102</v>
      </c>
      <c r="B108" s="837" t="s">
        <v>1010</v>
      </c>
      <c r="C108" s="421" t="s">
        <v>1603</v>
      </c>
      <c r="D108" s="922">
        <f>'TK HA AP'!F70</f>
        <v>4</v>
      </c>
      <c r="E108" s="901" t="s">
        <v>51</v>
      </c>
    </row>
    <row r="109" spans="1:5" s="893" customFormat="1" ht="24.95" customHeight="1">
      <c r="A109" s="442">
        <v>103</v>
      </c>
      <c r="B109" s="837" t="s">
        <v>877</v>
      </c>
      <c r="C109" s="421" t="s">
        <v>1603</v>
      </c>
      <c r="D109" s="922">
        <f>'TK HA AP'!G70</f>
        <v>7</v>
      </c>
      <c r="E109" s="901" t="s">
        <v>51</v>
      </c>
    </row>
    <row r="110" spans="1:5" s="893" customFormat="1" ht="24.95" customHeight="1">
      <c r="A110" s="442">
        <v>104</v>
      </c>
      <c r="B110" s="906" t="s">
        <v>879</v>
      </c>
      <c r="C110" s="421" t="s">
        <v>1603</v>
      </c>
      <c r="D110" s="417">
        <f>'TK HA AP'!H70</f>
        <v>1</v>
      </c>
      <c r="E110" s="442" t="s">
        <v>1011</v>
      </c>
    </row>
    <row r="111" spans="1:5" s="893" customFormat="1" ht="24.95" customHeight="1">
      <c r="A111" s="442">
        <v>105</v>
      </c>
      <c r="B111" s="906" t="s">
        <v>881</v>
      </c>
      <c r="C111" s="421" t="s">
        <v>1603</v>
      </c>
      <c r="D111" s="417">
        <f>'TK HA AP'!I70</f>
        <v>9</v>
      </c>
      <c r="E111" s="442" t="s">
        <v>86</v>
      </c>
    </row>
    <row r="112" spans="1:5" s="893" customFormat="1" ht="24.95" customHeight="1">
      <c r="A112" s="442">
        <v>106</v>
      </c>
      <c r="B112" s="906" t="s">
        <v>882</v>
      </c>
      <c r="C112" s="421" t="s">
        <v>1603</v>
      </c>
      <c r="D112" s="417">
        <f>'TK HA AP'!J70</f>
        <v>187</v>
      </c>
      <c r="E112" s="442" t="s">
        <v>86</v>
      </c>
    </row>
    <row r="113" spans="1:5" s="893" customFormat="1" ht="24.95" customHeight="1">
      <c r="A113" s="442">
        <v>107</v>
      </c>
      <c r="B113" s="906" t="s">
        <v>883</v>
      </c>
      <c r="C113" s="421" t="s">
        <v>1603</v>
      </c>
      <c r="D113" s="417">
        <f>'TK HA AP'!K70</f>
        <v>46</v>
      </c>
      <c r="E113" s="442" t="s">
        <v>86</v>
      </c>
    </row>
    <row r="114" spans="1:5" s="893" customFormat="1" ht="24.95" customHeight="1">
      <c r="A114" s="442">
        <v>108</v>
      </c>
      <c r="B114" s="906" t="s">
        <v>884</v>
      </c>
      <c r="C114" s="421" t="s">
        <v>1603</v>
      </c>
      <c r="D114" s="417">
        <f>'TK HA AP'!L70</f>
        <v>257</v>
      </c>
      <c r="E114" s="442" t="s">
        <v>86</v>
      </c>
    </row>
    <row r="115" spans="1:5" s="893" customFormat="1" ht="24.95" customHeight="1">
      <c r="A115" s="442">
        <v>109</v>
      </c>
      <c r="B115" s="837" t="s">
        <v>1604</v>
      </c>
      <c r="C115" s="421" t="s">
        <v>1603</v>
      </c>
      <c r="D115" s="903">
        <v>0</v>
      </c>
      <c r="E115" s="425">
        <v>0</v>
      </c>
    </row>
    <row r="116" spans="1:5" s="893" customFormat="1" ht="24.95" customHeight="1">
      <c r="A116" s="442">
        <v>110</v>
      </c>
      <c r="B116" s="906" t="s">
        <v>1585</v>
      </c>
      <c r="C116" s="421" t="s">
        <v>1603</v>
      </c>
      <c r="D116" s="417">
        <f>'TK HA AP'!M70</f>
        <v>9</v>
      </c>
      <c r="E116" s="442" t="s">
        <v>90</v>
      </c>
    </row>
    <row r="117" spans="1:5" s="893" customFormat="1" ht="24.95" customHeight="1">
      <c r="A117" s="442">
        <v>111</v>
      </c>
      <c r="B117" s="906" t="s">
        <v>1586</v>
      </c>
      <c r="C117" s="421" t="s">
        <v>1603</v>
      </c>
      <c r="D117" s="903">
        <v>0</v>
      </c>
      <c r="E117" s="442" t="s">
        <v>86</v>
      </c>
    </row>
    <row r="118" spans="1:5" s="893" customFormat="1" ht="24.95" customHeight="1">
      <c r="A118" s="442">
        <v>112</v>
      </c>
      <c r="B118" s="906" t="s">
        <v>1587</v>
      </c>
      <c r="C118" s="421" t="s">
        <v>1603</v>
      </c>
      <c r="D118" s="903">
        <v>0</v>
      </c>
      <c r="E118" s="442" t="s">
        <v>86</v>
      </c>
    </row>
    <row r="119" spans="1:5" s="893" customFormat="1" ht="24.95" customHeight="1">
      <c r="A119" s="442">
        <v>113</v>
      </c>
      <c r="B119" s="906" t="s">
        <v>1588</v>
      </c>
      <c r="C119" s="421" t="s">
        <v>1603</v>
      </c>
      <c r="D119" s="903">
        <v>0</v>
      </c>
      <c r="E119" s="442" t="s">
        <v>86</v>
      </c>
    </row>
    <row r="120" spans="1:5" s="893" customFormat="1" ht="24.95" customHeight="1">
      <c r="A120" s="442">
        <v>114</v>
      </c>
      <c r="B120" s="906" t="s">
        <v>1589</v>
      </c>
      <c r="C120" s="421" t="s">
        <v>1603</v>
      </c>
      <c r="D120" s="903">
        <v>0</v>
      </c>
      <c r="E120" s="442" t="s">
        <v>86</v>
      </c>
    </row>
    <row r="121" spans="1:5" s="893" customFormat="1" ht="24.95" customHeight="1">
      <c r="A121" s="442">
        <v>115</v>
      </c>
      <c r="B121" s="906" t="s">
        <v>1590</v>
      </c>
      <c r="C121" s="421" t="s">
        <v>1603</v>
      </c>
      <c r="D121" s="903">
        <v>0</v>
      </c>
      <c r="E121" s="442" t="s">
        <v>86</v>
      </c>
    </row>
    <row r="122" spans="1:5" s="893" customFormat="1" ht="24.95" customHeight="1">
      <c r="A122" s="442">
        <v>116</v>
      </c>
      <c r="B122" s="906" t="s">
        <v>1591</v>
      </c>
      <c r="C122" s="421" t="s">
        <v>1603</v>
      </c>
      <c r="D122" s="903">
        <v>0</v>
      </c>
      <c r="E122" s="442" t="s">
        <v>86</v>
      </c>
    </row>
    <row r="123" spans="1:5" ht="132">
      <c r="A123" s="442">
        <v>117</v>
      </c>
      <c r="B123" s="896" t="s">
        <v>1605</v>
      </c>
      <c r="C123" s="897" t="s">
        <v>1603</v>
      </c>
      <c r="D123" s="897">
        <v>0</v>
      </c>
      <c r="E123" s="897">
        <v>0</v>
      </c>
    </row>
    <row r="124" spans="1:5" ht="99">
      <c r="A124" s="442">
        <v>118</v>
      </c>
      <c r="B124" s="896" t="s">
        <v>1606</v>
      </c>
      <c r="C124" s="897" t="s">
        <v>1603</v>
      </c>
      <c r="D124" s="897">
        <v>0</v>
      </c>
      <c r="E124" s="897">
        <v>0</v>
      </c>
    </row>
    <row r="125" spans="1:5" ht="99">
      <c r="A125" s="442">
        <v>119</v>
      </c>
      <c r="B125" s="896" t="s">
        <v>1607</v>
      </c>
      <c r="C125" s="897" t="s">
        <v>1603</v>
      </c>
      <c r="D125" s="897">
        <v>0</v>
      </c>
      <c r="E125" s="897">
        <v>0</v>
      </c>
    </row>
    <row r="126" spans="1:5" ht="66">
      <c r="A126" s="442">
        <v>120</v>
      </c>
      <c r="B126" s="896" t="s">
        <v>1608</v>
      </c>
      <c r="C126" s="897" t="s">
        <v>1603</v>
      </c>
      <c r="D126" s="897">
        <v>0</v>
      </c>
      <c r="E126" s="897">
        <v>0</v>
      </c>
    </row>
  </sheetData>
  <autoFilter ref="A6:H126" xr:uid="{5CDDE688-9DC5-49E3-90A8-50B508927002}"/>
  <mergeCells count="2">
    <mergeCell ref="A2:H2"/>
    <mergeCell ref="A3:D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B180"/>
  <sheetViews>
    <sheetView tabSelected="1" zoomScale="110" zoomScaleNormal="110" workbookViewId="0">
      <pane ySplit="6" topLeftCell="A164" activePane="bottomLeft" state="frozen"/>
      <selection pane="bottomLeft" activeCell="J165" sqref="J165"/>
    </sheetView>
  </sheetViews>
  <sheetFormatPr defaultColWidth="8.83203125" defaultRowHeight="15"/>
  <cols>
    <col min="1" max="1" width="10.83203125" style="1216" customWidth="1"/>
    <col min="2" max="2" width="56.5" style="1079" customWidth="1"/>
    <col min="3" max="3" width="9.5" style="1216" customWidth="1"/>
    <col min="4" max="4" width="17" style="1216" customWidth="1"/>
    <col min="5" max="5" width="16" style="1217" customWidth="1"/>
    <col min="6" max="6" width="15.6640625" style="1217" customWidth="1"/>
    <col min="7" max="7" width="18.5" style="1217" customWidth="1"/>
    <col min="8" max="8" width="15.6640625" style="1217" customWidth="1"/>
    <col min="9" max="9" width="18.83203125" style="1217" customWidth="1"/>
    <col min="10" max="10" width="20.1640625" style="1217" customWidth="1"/>
    <col min="11" max="11" width="18.5" style="1217" customWidth="1"/>
    <col min="12" max="12" width="15.6640625" style="1217" customWidth="1"/>
    <col min="13" max="13" width="12.5" style="745" hidden="1" customWidth="1"/>
    <col min="14" max="14" width="12.6640625" style="745" hidden="1" customWidth="1"/>
    <col min="15" max="15" width="7.83203125" style="745" hidden="1" customWidth="1"/>
    <col min="16" max="16" width="11.5" style="745" hidden="1" customWidth="1"/>
    <col min="17" max="17" width="11.1640625" style="745" hidden="1" customWidth="1"/>
    <col min="18" max="18" width="11.5" style="745" hidden="1" customWidth="1"/>
    <col min="19" max="19" width="10.83203125" style="745" hidden="1" customWidth="1"/>
    <col min="20" max="20" width="9.33203125" style="745" hidden="1" customWidth="1"/>
    <col min="21" max="21" width="9" style="745" hidden="1" customWidth="1"/>
    <col min="22" max="23" width="0" style="745" hidden="1" customWidth="1"/>
    <col min="24" max="24" width="20.1640625" style="745" hidden="1" customWidth="1"/>
    <col min="25" max="25" width="9.1640625" style="745" hidden="1" customWidth="1"/>
    <col min="26" max="28" width="10.5" style="745" hidden="1" customWidth="1"/>
    <col min="29" max="29" width="0" style="745" hidden="1" customWidth="1"/>
    <col min="30" max="16384" width="8.83203125" style="745"/>
  </cols>
  <sheetData>
    <row r="1" spans="1:28">
      <c r="A1" s="1078"/>
      <c r="C1" s="1080"/>
      <c r="D1" s="1081"/>
      <c r="E1" s="1082"/>
      <c r="F1" s="1082"/>
      <c r="G1" s="1083"/>
      <c r="H1" s="1082"/>
      <c r="I1" s="1082"/>
      <c r="J1" s="1082"/>
      <c r="K1" s="1082"/>
      <c r="L1" s="1083"/>
      <c r="N1" s="1084" t="s">
        <v>297</v>
      </c>
      <c r="O1" s="768"/>
      <c r="P1" s="768">
        <v>298431</v>
      </c>
      <c r="Q1" s="768"/>
      <c r="R1" s="768">
        <v>319345</v>
      </c>
      <c r="S1" s="1085">
        <v>341605</v>
      </c>
      <c r="T1" s="1081" t="s">
        <v>669</v>
      </c>
    </row>
    <row r="2" spans="1:28" ht="21" customHeight="1">
      <c r="A2" s="1086" t="s">
        <v>1066</v>
      </c>
      <c r="B2" s="1086"/>
      <c r="C2" s="1086"/>
      <c r="D2" s="1086"/>
      <c r="E2" s="1086"/>
      <c r="F2" s="1086"/>
      <c r="G2" s="1086"/>
      <c r="H2" s="1086"/>
      <c r="I2" s="1086"/>
      <c r="J2" s="1086"/>
      <c r="K2" s="1086"/>
      <c r="L2" s="1086"/>
      <c r="N2" s="1084" t="s">
        <v>298</v>
      </c>
      <c r="O2" s="768"/>
      <c r="P2" s="768">
        <v>320183</v>
      </c>
      <c r="Q2" s="768"/>
      <c r="R2" s="768">
        <v>343318</v>
      </c>
      <c r="S2" s="1085">
        <v>367229</v>
      </c>
    </row>
    <row r="3" spans="1:28" ht="21.6" customHeight="1">
      <c r="A3" s="1087" t="s">
        <v>1031</v>
      </c>
      <c r="B3" s="1087"/>
      <c r="C3" s="1087"/>
      <c r="D3" s="1087"/>
      <c r="E3" s="1087"/>
      <c r="F3" s="1087"/>
      <c r="G3" s="1087"/>
      <c r="H3" s="1087"/>
      <c r="I3" s="1087"/>
      <c r="J3" s="1087"/>
      <c r="K3" s="1087"/>
      <c r="L3" s="1087"/>
      <c r="N3" s="1084" t="s">
        <v>299</v>
      </c>
      <c r="O3" s="768"/>
      <c r="P3" s="768">
        <v>343195</v>
      </c>
      <c r="Q3" s="768"/>
      <c r="R3" s="768">
        <v>367290</v>
      </c>
      <c r="S3" s="1085">
        <v>392852</v>
      </c>
    </row>
    <row r="4" spans="1:28" ht="15.75" thickBot="1">
      <c r="A4" s="1081"/>
      <c r="C4" s="1080"/>
      <c r="D4" s="1081"/>
      <c r="E4" s="1082"/>
      <c r="F4" s="1082"/>
      <c r="G4" s="1083"/>
      <c r="H4" s="1082"/>
      <c r="I4" s="1082"/>
      <c r="J4" s="1082"/>
      <c r="K4" s="1082"/>
      <c r="L4" s="1083"/>
      <c r="N4" s="1084" t="s">
        <v>300</v>
      </c>
      <c r="O4" s="768"/>
      <c r="P4" s="768">
        <v>368941</v>
      </c>
      <c r="Q4" s="768"/>
      <c r="R4" s="768">
        <v>394809</v>
      </c>
      <c r="S4" s="1085">
        <v>422328</v>
      </c>
    </row>
    <row r="5" spans="1:28" ht="18" customHeight="1" thickTop="1">
      <c r="A5" s="1088" t="s">
        <v>83</v>
      </c>
      <c r="B5" s="1089" t="s">
        <v>53</v>
      </c>
      <c r="C5" s="1090" t="s">
        <v>47</v>
      </c>
      <c r="D5" s="1089" t="s">
        <v>14</v>
      </c>
      <c r="E5" s="1091" t="s">
        <v>48</v>
      </c>
      <c r="F5" s="1091"/>
      <c r="G5" s="1091"/>
      <c r="H5" s="1091"/>
      <c r="I5" s="1091" t="s">
        <v>84</v>
      </c>
      <c r="J5" s="1091"/>
      <c r="K5" s="1091"/>
      <c r="L5" s="1092"/>
      <c r="N5" s="1084" t="s">
        <v>301</v>
      </c>
      <c r="O5" s="768"/>
      <c r="P5" s="768">
        <v>394687</v>
      </c>
      <c r="Q5" s="768"/>
      <c r="R5" s="768">
        <v>422328</v>
      </c>
      <c r="S5" s="1085">
        <v>451805</v>
      </c>
    </row>
    <row r="6" spans="1:28" ht="55.5" customHeight="1">
      <c r="A6" s="1093"/>
      <c r="B6" s="1094"/>
      <c r="C6" s="1095"/>
      <c r="D6" s="1094"/>
      <c r="E6" s="1096" t="s">
        <v>160</v>
      </c>
      <c r="F6" s="1096" t="s">
        <v>161</v>
      </c>
      <c r="G6" s="1097" t="s">
        <v>92</v>
      </c>
      <c r="H6" s="1098" t="s">
        <v>33</v>
      </c>
      <c r="I6" s="1096" t="s">
        <v>160</v>
      </c>
      <c r="J6" s="1096" t="s">
        <v>161</v>
      </c>
      <c r="K6" s="1098" t="s">
        <v>85</v>
      </c>
      <c r="L6" s="1099" t="s">
        <v>33</v>
      </c>
      <c r="M6" s="745" t="s">
        <v>486</v>
      </c>
      <c r="N6" s="1085"/>
      <c r="O6" s="1085"/>
      <c r="P6" s="1085" t="s">
        <v>40</v>
      </c>
      <c r="Q6" s="1100" t="s">
        <v>41</v>
      </c>
      <c r="R6" s="1100"/>
      <c r="S6" s="1101" t="s">
        <v>45</v>
      </c>
      <c r="W6" s="1102" t="s">
        <v>1032</v>
      </c>
      <c r="X6" s="1102"/>
      <c r="Y6" s="1102"/>
      <c r="Z6" s="1102"/>
      <c r="AA6" s="1102"/>
      <c r="AB6" s="1102"/>
    </row>
    <row r="7" spans="1:28" ht="19.149999999999999" customHeight="1">
      <c r="A7" s="1103">
        <v>1</v>
      </c>
      <c r="B7" s="1104">
        <v>2</v>
      </c>
      <c r="C7" s="1105">
        <v>3</v>
      </c>
      <c r="D7" s="1106">
        <v>4</v>
      </c>
      <c r="E7" s="1106">
        <v>5</v>
      </c>
      <c r="F7" s="1106">
        <v>6</v>
      </c>
      <c r="G7" s="1107">
        <v>7</v>
      </c>
      <c r="H7" s="1106">
        <v>8</v>
      </c>
      <c r="I7" s="1106" t="s">
        <v>62</v>
      </c>
      <c r="J7" s="1106" t="s">
        <v>63</v>
      </c>
      <c r="K7" s="1106" t="s">
        <v>64</v>
      </c>
      <c r="L7" s="1108" t="s">
        <v>93</v>
      </c>
      <c r="W7" s="1085" t="s">
        <v>22</v>
      </c>
      <c r="X7" s="1085" t="s">
        <v>1036</v>
      </c>
      <c r="Y7" s="1085" t="s">
        <v>1037</v>
      </c>
      <c r="Z7" s="1085" t="s">
        <v>1038</v>
      </c>
      <c r="AA7" s="1085"/>
      <c r="AB7" s="1085"/>
    </row>
    <row r="8" spans="1:28" ht="22.15" customHeight="1">
      <c r="A8" s="1109" t="s">
        <v>98</v>
      </c>
      <c r="B8" s="1110"/>
      <c r="C8" s="1111"/>
      <c r="D8" s="1111"/>
      <c r="E8" s="1112"/>
      <c r="F8" s="1112"/>
      <c r="G8" s="1113"/>
      <c r="H8" s="1112"/>
      <c r="I8" s="1112"/>
      <c r="J8" s="1112"/>
      <c r="K8" s="742"/>
      <c r="L8" s="1114"/>
      <c r="M8" s="1115"/>
      <c r="W8" s="1085"/>
      <c r="X8" s="1085"/>
      <c r="Y8" s="1085"/>
      <c r="Z8" s="1085" t="s">
        <v>41</v>
      </c>
      <c r="AA8" s="1085" t="s">
        <v>45</v>
      </c>
      <c r="AB8" s="1085" t="s">
        <v>46</v>
      </c>
    </row>
    <row r="9" spans="1:28" ht="22.15" customHeight="1">
      <c r="A9" s="1109" t="s">
        <v>224</v>
      </c>
      <c r="B9" s="1110"/>
      <c r="C9" s="1111"/>
      <c r="D9" s="1111"/>
      <c r="E9" s="1112"/>
      <c r="F9" s="1112"/>
      <c r="G9" s="1113"/>
      <c r="H9" s="1112"/>
      <c r="I9" s="1112"/>
      <c r="J9" s="1112"/>
      <c r="K9" s="1112"/>
      <c r="L9" s="1114"/>
      <c r="M9" s="1115"/>
      <c r="R9" s="1116"/>
      <c r="W9" s="1085" t="s">
        <v>1039</v>
      </c>
      <c r="X9" s="1085" t="s">
        <v>1040</v>
      </c>
      <c r="Y9" s="1085">
        <v>1</v>
      </c>
      <c r="Z9" s="768">
        <v>167245</v>
      </c>
      <c r="AA9" s="768">
        <v>163705</v>
      </c>
      <c r="AB9" s="768">
        <v>157823</v>
      </c>
    </row>
    <row r="10" spans="1:28" ht="22.15" customHeight="1">
      <c r="A10" s="1117" t="s">
        <v>40</v>
      </c>
      <c r="B10" s="1118" t="s">
        <v>675</v>
      </c>
      <c r="C10" s="1111"/>
      <c r="D10" s="1111"/>
      <c r="E10" s="1112"/>
      <c r="F10" s="1112"/>
      <c r="G10" s="1113"/>
      <c r="H10" s="1112"/>
      <c r="I10" s="1112"/>
      <c r="J10" s="1112"/>
      <c r="K10" s="742"/>
      <c r="L10" s="1114"/>
      <c r="R10" s="1116"/>
      <c r="W10" s="1085" t="s">
        <v>1041</v>
      </c>
      <c r="X10" s="1085" t="s">
        <v>1042</v>
      </c>
      <c r="Y10" s="1085">
        <v>1.0899999999999999</v>
      </c>
      <c r="Z10" s="768">
        <v>182297</v>
      </c>
      <c r="AA10" s="768">
        <v>178438</v>
      </c>
      <c r="AB10" s="768">
        <v>172027</v>
      </c>
    </row>
    <row r="11" spans="1:28" ht="22.15" customHeight="1">
      <c r="A11" s="1119" t="s">
        <v>253</v>
      </c>
      <c r="B11" s="1120" t="s">
        <v>584</v>
      </c>
      <c r="C11" s="1121" t="s">
        <v>591</v>
      </c>
      <c r="D11" s="1122">
        <v>1</v>
      </c>
      <c r="E11" s="1123"/>
      <c r="F11" s="1123"/>
      <c r="G11" s="1124"/>
      <c r="H11" s="1123"/>
      <c r="I11" s="1125"/>
      <c r="J11" s="1125"/>
      <c r="K11" s="1125"/>
      <c r="L11" s="1126"/>
      <c r="N11" s="745" t="s">
        <v>1035</v>
      </c>
      <c r="R11" s="1116"/>
      <c r="W11" s="1085" t="s">
        <v>1043</v>
      </c>
      <c r="X11" s="1085" t="s">
        <v>1044</v>
      </c>
      <c r="Y11" s="1085">
        <v>1.18</v>
      </c>
      <c r="Z11" s="768">
        <v>197349</v>
      </c>
      <c r="AA11" s="768">
        <v>193171</v>
      </c>
      <c r="AB11" s="768">
        <v>186231</v>
      </c>
    </row>
    <row r="12" spans="1:28" ht="22.15" customHeight="1">
      <c r="A12" s="1127"/>
      <c r="B12" s="1128" t="s">
        <v>599</v>
      </c>
      <c r="C12" s="1129" t="s">
        <v>89</v>
      </c>
      <c r="D12" s="1130">
        <v>244.56800000000001</v>
      </c>
      <c r="E12" s="742"/>
      <c r="F12" s="742"/>
      <c r="G12" s="1113"/>
      <c r="H12" s="1112"/>
      <c r="I12" s="742"/>
      <c r="J12" s="742"/>
      <c r="K12" s="743"/>
      <c r="L12" s="1131"/>
      <c r="N12" s="745" t="s">
        <v>1034</v>
      </c>
      <c r="R12" s="1116"/>
      <c r="W12" s="1085" t="s">
        <v>652</v>
      </c>
      <c r="X12" s="1085" t="s">
        <v>653</v>
      </c>
      <c r="Y12" s="1085">
        <v>1.2849999999999999</v>
      </c>
      <c r="Z12" s="768">
        <v>214909</v>
      </c>
      <c r="AA12" s="768">
        <v>210360</v>
      </c>
      <c r="AB12" s="768">
        <v>202803</v>
      </c>
    </row>
    <row r="13" spans="1:28" ht="22.15" customHeight="1">
      <c r="A13" s="1127"/>
      <c r="B13" s="1128" t="s">
        <v>600</v>
      </c>
      <c r="C13" s="1129" t="s">
        <v>91</v>
      </c>
      <c r="D13" s="1130">
        <v>0.78</v>
      </c>
      <c r="E13" s="742"/>
      <c r="F13" s="742"/>
      <c r="G13" s="1113"/>
      <c r="H13" s="1112"/>
      <c r="I13" s="742"/>
      <c r="J13" s="742"/>
      <c r="K13" s="743"/>
      <c r="L13" s="1131"/>
      <c r="N13" s="768">
        <v>232470</v>
      </c>
      <c r="O13" s="745" t="s">
        <v>487</v>
      </c>
      <c r="R13" s="1116"/>
      <c r="W13" s="1085" t="s">
        <v>654</v>
      </c>
      <c r="X13" s="1085" t="s">
        <v>655</v>
      </c>
      <c r="Y13" s="1085">
        <v>1.39</v>
      </c>
      <c r="Z13" s="768">
        <v>232470</v>
      </c>
      <c r="AA13" s="768">
        <v>227549</v>
      </c>
      <c r="AB13" s="768">
        <v>219374</v>
      </c>
    </row>
    <row r="14" spans="1:28" ht="22.15" customHeight="1">
      <c r="A14" s="1127"/>
      <c r="B14" s="1128" t="s">
        <v>592</v>
      </c>
      <c r="C14" s="1129" t="s">
        <v>91</v>
      </c>
      <c r="D14" s="1130">
        <v>0.47399999999999998</v>
      </c>
      <c r="E14" s="742"/>
      <c r="F14" s="742"/>
      <c r="G14" s="1113"/>
      <c r="H14" s="1112"/>
      <c r="I14" s="742"/>
      <c r="J14" s="742"/>
      <c r="K14" s="743"/>
      <c r="L14" s="1131"/>
      <c r="N14" s="768">
        <v>254212</v>
      </c>
      <c r="O14" s="745" t="s">
        <v>492</v>
      </c>
      <c r="Q14" s="1116"/>
      <c r="W14" s="1085" t="s">
        <v>656</v>
      </c>
      <c r="X14" s="1085" t="s">
        <v>657</v>
      </c>
      <c r="Y14" s="1085">
        <v>1.52</v>
      </c>
      <c r="Z14" s="768">
        <v>254212</v>
      </c>
      <c r="AA14" s="768">
        <v>248831</v>
      </c>
      <c r="AB14" s="768">
        <v>239891</v>
      </c>
    </row>
    <row r="15" spans="1:28" ht="22.15" customHeight="1">
      <c r="A15" s="1127"/>
      <c r="B15" s="1128" t="s">
        <v>594</v>
      </c>
      <c r="C15" s="1129" t="s">
        <v>91</v>
      </c>
      <c r="D15" s="1132">
        <v>0.17299999999999999</v>
      </c>
      <c r="E15" s="742"/>
      <c r="F15" s="742"/>
      <c r="G15" s="1113"/>
      <c r="H15" s="1112"/>
      <c r="I15" s="742"/>
      <c r="J15" s="742"/>
      <c r="K15" s="743"/>
      <c r="L15" s="1131"/>
      <c r="N15" s="1133"/>
      <c r="O15" s="1133"/>
      <c r="Q15" s="1116"/>
      <c r="W15" s="1085" t="s">
        <v>1046</v>
      </c>
      <c r="X15" s="1085" t="s">
        <v>1047</v>
      </c>
      <c r="Y15" s="1085">
        <v>1.7949999999999999</v>
      </c>
      <c r="Z15" s="768">
        <v>300204</v>
      </c>
      <c r="AA15" s="768">
        <v>293850</v>
      </c>
      <c r="AB15" s="768">
        <v>283292</v>
      </c>
    </row>
    <row r="16" spans="1:28" ht="22.15" customHeight="1">
      <c r="A16" s="1127" t="s">
        <v>595</v>
      </c>
      <c r="B16" s="1128" t="s">
        <v>596</v>
      </c>
      <c r="C16" s="1134" t="s">
        <v>91</v>
      </c>
      <c r="D16" s="1135" t="s">
        <v>1584</v>
      </c>
      <c r="E16" s="1136"/>
      <c r="F16" s="742"/>
      <c r="G16" s="742"/>
      <c r="H16" s="742"/>
      <c r="I16" s="742"/>
      <c r="J16" s="742"/>
      <c r="K16" s="743"/>
      <c r="L16" s="1131"/>
      <c r="N16" s="745">
        <v>1.04</v>
      </c>
      <c r="O16" s="745">
        <v>8.8999999999999996E-2</v>
      </c>
      <c r="P16" s="745" t="s">
        <v>602</v>
      </c>
      <c r="R16" s="745">
        <v>306539</v>
      </c>
      <c r="S16" s="745">
        <f>R16*O16</f>
        <v>27281.970999999998</v>
      </c>
      <c r="W16" s="1085" t="s">
        <v>658</v>
      </c>
      <c r="X16" s="1085" t="s">
        <v>1048</v>
      </c>
      <c r="Y16" s="1085">
        <v>1.94</v>
      </c>
      <c r="Z16" s="768">
        <v>324455</v>
      </c>
      <c r="AA16" s="768">
        <v>317587</v>
      </c>
      <c r="AB16" s="768">
        <v>306177</v>
      </c>
    </row>
    <row r="17" spans="1:28" ht="22.15" customHeight="1">
      <c r="A17" s="1127" t="s">
        <v>597</v>
      </c>
      <c r="B17" s="1128" t="s">
        <v>601</v>
      </c>
      <c r="C17" s="1134" t="s">
        <v>91</v>
      </c>
      <c r="D17" s="1137"/>
      <c r="E17" s="1136"/>
      <c r="F17" s="742"/>
      <c r="G17" s="742"/>
      <c r="H17" s="742"/>
      <c r="I17" s="742"/>
      <c r="J17" s="742"/>
      <c r="K17" s="743"/>
      <c r="L17" s="1131"/>
      <c r="N17" s="745">
        <v>0.56000000000000005</v>
      </c>
      <c r="O17" s="745">
        <v>9.5000000000000001E-2</v>
      </c>
      <c r="P17" s="745" t="s">
        <v>603</v>
      </c>
      <c r="R17" s="745">
        <v>351080</v>
      </c>
      <c r="S17" s="745">
        <f>R17*O17</f>
        <v>33352.6</v>
      </c>
      <c r="W17" s="1085" t="s">
        <v>659</v>
      </c>
      <c r="X17" s="1085" t="s">
        <v>660</v>
      </c>
      <c r="Y17" s="1085">
        <v>2.12</v>
      </c>
      <c r="Z17" s="768">
        <v>354559</v>
      </c>
      <c r="AA17" s="768">
        <v>347054</v>
      </c>
      <c r="AB17" s="768">
        <v>334585</v>
      </c>
    </row>
    <row r="18" spans="1:28" ht="22.15" customHeight="1">
      <c r="A18" s="1127" t="s">
        <v>235</v>
      </c>
      <c r="B18" s="1128" t="s">
        <v>598</v>
      </c>
      <c r="C18" s="1129" t="s">
        <v>91</v>
      </c>
      <c r="D18" s="1138">
        <v>0.88700000000000001</v>
      </c>
      <c r="E18" s="742"/>
      <c r="F18" s="742"/>
      <c r="G18" s="742"/>
      <c r="H18" s="742"/>
      <c r="I18" s="742"/>
      <c r="J18" s="742"/>
      <c r="K18" s="743"/>
      <c r="L18" s="1131"/>
      <c r="N18" s="745">
        <v>1.23</v>
      </c>
      <c r="S18" s="1139">
        <f>SUM(S16:S17)</f>
        <v>60634.570999999996</v>
      </c>
      <c r="W18" s="1085" t="s">
        <v>661</v>
      </c>
      <c r="X18" s="1085" t="s">
        <v>662</v>
      </c>
      <c r="Y18" s="1085">
        <v>2.2999999999999998</v>
      </c>
      <c r="Z18" s="768">
        <v>384663</v>
      </c>
      <c r="AA18" s="768">
        <v>376521</v>
      </c>
      <c r="AB18" s="768">
        <v>362993</v>
      </c>
    </row>
    <row r="19" spans="1:28" ht="22.15" customHeight="1">
      <c r="A19" s="1119" t="s">
        <v>590</v>
      </c>
      <c r="B19" s="1120" t="s">
        <v>816</v>
      </c>
      <c r="C19" s="1121" t="s">
        <v>591</v>
      </c>
      <c r="D19" s="1122">
        <v>1</v>
      </c>
      <c r="E19" s="1123"/>
      <c r="F19" s="1123"/>
      <c r="G19" s="1124"/>
      <c r="H19" s="1123"/>
      <c r="I19" s="1125"/>
      <c r="J19" s="1125"/>
      <c r="K19" s="1125"/>
      <c r="L19" s="1126"/>
      <c r="R19" s="1116"/>
      <c r="W19" s="1085" t="s">
        <v>1049</v>
      </c>
      <c r="X19" s="1085" t="s">
        <v>1050</v>
      </c>
      <c r="Y19" s="1085">
        <v>2.5049999999999999</v>
      </c>
      <c r="Z19" s="768">
        <v>418948</v>
      </c>
      <c r="AA19" s="768">
        <v>410080</v>
      </c>
      <c r="AB19" s="768">
        <v>395347</v>
      </c>
    </row>
    <row r="20" spans="1:28" ht="22.15" customHeight="1">
      <c r="A20" s="1127"/>
      <c r="B20" s="1128" t="s">
        <v>599</v>
      </c>
      <c r="C20" s="1129" t="s">
        <v>89</v>
      </c>
      <c r="D20" s="1130">
        <v>386.84199999999998</v>
      </c>
      <c r="E20" s="742"/>
      <c r="F20" s="742"/>
      <c r="G20" s="1113"/>
      <c r="H20" s="1112"/>
      <c r="I20" s="742"/>
      <c r="J20" s="742"/>
      <c r="K20" s="743"/>
      <c r="L20" s="1131"/>
      <c r="R20" s="1116"/>
      <c r="W20" s="1085" t="s">
        <v>1051</v>
      </c>
      <c r="X20" s="1085" t="s">
        <v>1052</v>
      </c>
      <c r="Y20" s="1085">
        <v>2.71</v>
      </c>
      <c r="Z20" s="768">
        <v>453233</v>
      </c>
      <c r="AA20" s="768">
        <v>443639</v>
      </c>
      <c r="AB20" s="768">
        <v>427700</v>
      </c>
    </row>
    <row r="21" spans="1:28" ht="22.15" customHeight="1">
      <c r="A21" s="1127"/>
      <c r="B21" s="1128" t="s">
        <v>600</v>
      </c>
      <c r="C21" s="1129" t="s">
        <v>91</v>
      </c>
      <c r="D21" s="1130">
        <v>1.234</v>
      </c>
      <c r="E21" s="742"/>
      <c r="F21" s="742"/>
      <c r="G21" s="1113"/>
      <c r="H21" s="1112"/>
      <c r="I21" s="742"/>
      <c r="J21" s="742"/>
      <c r="K21" s="743"/>
      <c r="L21" s="1131"/>
      <c r="R21" s="1116"/>
    </row>
    <row r="22" spans="1:28" ht="22.15" customHeight="1">
      <c r="A22" s="1127"/>
      <c r="B22" s="1128" t="s">
        <v>592</v>
      </c>
      <c r="C22" s="1129" t="s">
        <v>91</v>
      </c>
      <c r="D22" s="1130">
        <v>0.749</v>
      </c>
      <c r="E22" s="742"/>
      <c r="F22" s="742"/>
      <c r="G22" s="1113"/>
      <c r="H22" s="1112"/>
      <c r="I22" s="742"/>
      <c r="J22" s="742"/>
      <c r="K22" s="743"/>
      <c r="L22" s="1131"/>
      <c r="Q22" s="1116"/>
    </row>
    <row r="23" spans="1:28" ht="22.15" customHeight="1">
      <c r="A23" s="1127"/>
      <c r="B23" s="1128" t="s">
        <v>594</v>
      </c>
      <c r="C23" s="1129" t="s">
        <v>91</v>
      </c>
      <c r="D23" s="1130">
        <v>0.27300000000000002</v>
      </c>
      <c r="E23" s="742"/>
      <c r="F23" s="742"/>
      <c r="G23" s="1113"/>
      <c r="H23" s="1112"/>
      <c r="I23" s="742"/>
      <c r="J23" s="742"/>
      <c r="K23" s="743"/>
      <c r="L23" s="1131"/>
      <c r="N23" s="1133"/>
      <c r="O23" s="1133"/>
      <c r="Q23" s="1116"/>
    </row>
    <row r="24" spans="1:28" ht="22.15" customHeight="1">
      <c r="A24" s="1127" t="s">
        <v>595</v>
      </c>
      <c r="B24" s="1128" t="s">
        <v>596</v>
      </c>
      <c r="C24" s="1129" t="s">
        <v>91</v>
      </c>
      <c r="D24" s="1135" t="s">
        <v>1584</v>
      </c>
      <c r="E24" s="742"/>
      <c r="F24" s="742"/>
      <c r="G24" s="742"/>
      <c r="H24" s="742"/>
      <c r="I24" s="742"/>
      <c r="J24" s="742"/>
      <c r="K24" s="743"/>
      <c r="L24" s="1131"/>
    </row>
    <row r="25" spans="1:28" ht="22.15" customHeight="1">
      <c r="A25" s="1127" t="s">
        <v>597</v>
      </c>
      <c r="B25" s="1128" t="s">
        <v>601</v>
      </c>
      <c r="C25" s="1129" t="s">
        <v>91</v>
      </c>
      <c r="D25" s="1137"/>
      <c r="E25" s="742"/>
      <c r="F25" s="742"/>
      <c r="G25" s="742"/>
      <c r="H25" s="742"/>
      <c r="I25" s="742"/>
      <c r="J25" s="742"/>
      <c r="K25" s="743"/>
      <c r="L25" s="1131"/>
    </row>
    <row r="26" spans="1:28" ht="22.15" customHeight="1">
      <c r="A26" s="1127" t="s">
        <v>235</v>
      </c>
      <c r="B26" s="1128" t="s">
        <v>598</v>
      </c>
      <c r="C26" s="1129" t="s">
        <v>91</v>
      </c>
      <c r="D26" s="1130">
        <v>1.403</v>
      </c>
      <c r="E26" s="742"/>
      <c r="F26" s="742"/>
      <c r="G26" s="742"/>
      <c r="H26" s="742"/>
      <c r="I26" s="742"/>
      <c r="J26" s="742"/>
      <c r="K26" s="743"/>
      <c r="L26" s="1131"/>
      <c r="S26" s="1139"/>
    </row>
    <row r="27" spans="1:28" ht="22.15" customHeight="1">
      <c r="A27" s="1140" t="s">
        <v>41</v>
      </c>
      <c r="B27" s="1141" t="s">
        <v>674</v>
      </c>
      <c r="C27" s="1129"/>
      <c r="D27" s="1130"/>
      <c r="E27" s="742"/>
      <c r="F27" s="742"/>
      <c r="G27" s="742"/>
      <c r="H27" s="742"/>
      <c r="I27" s="742"/>
      <c r="J27" s="742"/>
      <c r="K27" s="743"/>
      <c r="L27" s="1131"/>
      <c r="S27" s="1139"/>
    </row>
    <row r="28" spans="1:28" s="1139" customFormat="1" ht="22.15" customHeight="1">
      <c r="A28" s="1119" t="s">
        <v>253</v>
      </c>
      <c r="B28" s="1142" t="s">
        <v>668</v>
      </c>
      <c r="C28" s="1143" t="s">
        <v>51</v>
      </c>
      <c r="D28" s="1122">
        <v>1</v>
      </c>
      <c r="E28" s="1144"/>
      <c r="F28" s="1144"/>
      <c r="G28" s="1144"/>
      <c r="H28" s="1144"/>
      <c r="I28" s="1144"/>
      <c r="J28" s="1144"/>
      <c r="K28" s="1144"/>
      <c r="L28" s="1126"/>
    </row>
    <row r="29" spans="1:28" ht="44.25" customHeight="1">
      <c r="A29" s="1127"/>
      <c r="B29" s="1128" t="s">
        <v>663</v>
      </c>
      <c r="C29" s="1129" t="s">
        <v>622</v>
      </c>
      <c r="D29" s="1145">
        <v>1</v>
      </c>
      <c r="E29" s="742"/>
      <c r="F29" s="742"/>
      <c r="G29" s="742"/>
      <c r="H29" s="742"/>
      <c r="I29" s="742"/>
      <c r="J29" s="742"/>
      <c r="K29" s="743"/>
      <c r="L29" s="1131"/>
      <c r="S29" s="1139"/>
    </row>
    <row r="30" spans="1:28" ht="22.15" customHeight="1">
      <c r="A30" s="1127"/>
      <c r="B30" s="1128" t="s">
        <v>676</v>
      </c>
      <c r="C30" s="1129" t="s">
        <v>89</v>
      </c>
      <c r="D30" s="1130">
        <v>1.3440000000000001</v>
      </c>
      <c r="E30" s="742"/>
      <c r="F30" s="742"/>
      <c r="G30" s="742"/>
      <c r="H30" s="742"/>
      <c r="I30" s="742"/>
      <c r="J30" s="742"/>
      <c r="K30" s="743"/>
      <c r="L30" s="1131"/>
      <c r="S30" s="1139"/>
    </row>
    <row r="31" spans="1:28" ht="22.15" customHeight="1">
      <c r="A31" s="1127"/>
      <c r="B31" s="1128" t="s">
        <v>667</v>
      </c>
      <c r="C31" s="1129" t="s">
        <v>86</v>
      </c>
      <c r="D31" s="1145">
        <v>2</v>
      </c>
      <c r="E31" s="742"/>
      <c r="F31" s="742"/>
      <c r="G31" s="742"/>
      <c r="H31" s="742"/>
      <c r="I31" s="742"/>
      <c r="J31" s="742"/>
      <c r="K31" s="743"/>
      <c r="L31" s="1131"/>
      <c r="S31" s="1139"/>
    </row>
    <row r="32" spans="1:28" ht="22.15" customHeight="1">
      <c r="A32" s="1127"/>
      <c r="B32" s="1146" t="s">
        <v>664</v>
      </c>
      <c r="C32" s="1111" t="s">
        <v>86</v>
      </c>
      <c r="D32" s="1147">
        <v>1</v>
      </c>
      <c r="E32" s="1112"/>
      <c r="F32" s="742"/>
      <c r="G32" s="1113"/>
      <c r="H32" s="1112"/>
      <c r="I32" s="742"/>
      <c r="J32" s="742"/>
      <c r="K32" s="742"/>
      <c r="L32" s="1148"/>
    </row>
    <row r="33" spans="1:19" ht="22.15" customHeight="1">
      <c r="A33" s="1127"/>
      <c r="B33" s="1146" t="s">
        <v>665</v>
      </c>
      <c r="C33" s="1111" t="s">
        <v>86</v>
      </c>
      <c r="D33" s="1147">
        <v>1</v>
      </c>
      <c r="E33" s="1112"/>
      <c r="F33" s="742"/>
      <c r="G33" s="1113"/>
      <c r="H33" s="1112"/>
      <c r="I33" s="742"/>
      <c r="J33" s="742"/>
      <c r="K33" s="742"/>
      <c r="L33" s="1148"/>
    </row>
    <row r="34" spans="1:19" ht="22.15" customHeight="1">
      <c r="A34" s="1127"/>
      <c r="B34" s="1146" t="s">
        <v>666</v>
      </c>
      <c r="C34" s="1111" t="s">
        <v>86</v>
      </c>
      <c r="D34" s="1147">
        <v>1</v>
      </c>
      <c r="E34" s="1112"/>
      <c r="F34" s="742"/>
      <c r="G34" s="1113"/>
      <c r="H34" s="1112"/>
      <c r="I34" s="742"/>
      <c r="J34" s="742"/>
      <c r="K34" s="742"/>
      <c r="L34" s="1148"/>
    </row>
    <row r="35" spans="1:19" ht="30">
      <c r="A35" s="1127"/>
      <c r="B35" s="1146" t="s">
        <v>555</v>
      </c>
      <c r="C35" s="1111" t="s">
        <v>86</v>
      </c>
      <c r="D35" s="1147">
        <v>3</v>
      </c>
      <c r="E35" s="1112"/>
      <c r="F35" s="742"/>
      <c r="G35" s="1113"/>
      <c r="H35" s="1112"/>
      <c r="I35" s="742"/>
      <c r="J35" s="742"/>
      <c r="K35" s="742"/>
      <c r="L35" s="1148"/>
    </row>
    <row r="36" spans="1:19" ht="22.15" customHeight="1">
      <c r="A36" s="1127" t="s">
        <v>670</v>
      </c>
      <c r="B36" s="1128" t="s">
        <v>623</v>
      </c>
      <c r="C36" s="1129" t="s">
        <v>87</v>
      </c>
      <c r="D36" s="1145">
        <v>1</v>
      </c>
      <c r="E36" s="742"/>
      <c r="F36" s="742"/>
      <c r="G36" s="742"/>
      <c r="H36" s="742"/>
      <c r="I36" s="742"/>
      <c r="J36" s="742"/>
      <c r="K36" s="743"/>
      <c r="L36" s="1131"/>
      <c r="S36" s="1139"/>
    </row>
    <row r="37" spans="1:19" ht="22.15" customHeight="1">
      <c r="A37" s="1127" t="s">
        <v>194</v>
      </c>
      <c r="B37" s="1128" t="s">
        <v>238</v>
      </c>
      <c r="C37" s="1129" t="s">
        <v>168</v>
      </c>
      <c r="D37" s="1145">
        <v>1</v>
      </c>
      <c r="E37" s="742"/>
      <c r="F37" s="742"/>
      <c r="G37" s="742"/>
      <c r="H37" s="742"/>
      <c r="I37" s="742"/>
      <c r="J37" s="742"/>
      <c r="K37" s="743"/>
      <c r="L37" s="1131"/>
      <c r="M37" s="745" t="s">
        <v>1053</v>
      </c>
      <c r="N37" s="742">
        <v>285088</v>
      </c>
      <c r="P37" s="745" t="s">
        <v>239</v>
      </c>
      <c r="S37" s="1139"/>
    </row>
    <row r="38" spans="1:19" ht="22.15" customHeight="1">
      <c r="A38" s="1117" t="s">
        <v>45</v>
      </c>
      <c r="B38" s="1118" t="s">
        <v>604</v>
      </c>
      <c r="C38" s="1111"/>
      <c r="D38" s="1111" t="s">
        <v>87</v>
      </c>
      <c r="E38" s="1112"/>
      <c r="F38" s="1112"/>
      <c r="G38" s="742"/>
      <c r="H38" s="742"/>
      <c r="I38" s="1112"/>
      <c r="J38" s="1112"/>
      <c r="K38" s="1112"/>
      <c r="L38" s="1114"/>
      <c r="P38" s="1139">
        <v>401095</v>
      </c>
    </row>
    <row r="39" spans="1:19" ht="22.15" customHeight="1">
      <c r="A39" s="1149">
        <v>1</v>
      </c>
      <c r="B39" s="1150" t="s">
        <v>1138</v>
      </c>
      <c r="C39" s="1151" t="s">
        <v>605</v>
      </c>
      <c r="D39" s="1152">
        <v>1</v>
      </c>
      <c r="E39" s="1123"/>
      <c r="F39" s="1153"/>
      <c r="G39" s="1124"/>
      <c r="H39" s="1123"/>
      <c r="I39" s="1125"/>
      <c r="J39" s="1125"/>
      <c r="K39" s="1125"/>
      <c r="L39" s="1126"/>
    </row>
    <row r="40" spans="1:19" ht="22.15" customHeight="1">
      <c r="A40" s="1154"/>
      <c r="B40" s="1155" t="s">
        <v>1139</v>
      </c>
      <c r="C40" s="1111" t="s">
        <v>90</v>
      </c>
      <c r="D40" s="1111">
        <v>1</v>
      </c>
      <c r="E40" s="1112"/>
      <c r="F40" s="1156"/>
      <c r="G40" s="1113"/>
      <c r="H40" s="1112"/>
      <c r="I40" s="742"/>
      <c r="J40" s="742"/>
      <c r="K40" s="743"/>
      <c r="L40" s="1131"/>
    </row>
    <row r="41" spans="1:19" ht="22.15" customHeight="1">
      <c r="A41" s="1154"/>
      <c r="B41" s="1157" t="s">
        <v>606</v>
      </c>
      <c r="C41" s="1129" t="s">
        <v>89</v>
      </c>
      <c r="D41" s="1158">
        <v>5.9039999999999995E-3</v>
      </c>
      <c r="E41" s="742"/>
      <c r="F41" s="742"/>
      <c r="G41" s="1113"/>
      <c r="H41" s="1112"/>
      <c r="I41" s="742"/>
      <c r="J41" s="742"/>
      <c r="K41" s="743"/>
      <c r="L41" s="1131"/>
    </row>
    <row r="42" spans="1:19" ht="22.15" customHeight="1">
      <c r="A42" s="1154"/>
      <c r="B42" s="1128" t="s">
        <v>607</v>
      </c>
      <c r="C42" s="1129" t="s">
        <v>87</v>
      </c>
      <c r="D42" s="1159">
        <v>1</v>
      </c>
      <c r="E42" s="742"/>
      <c r="F42" s="742"/>
      <c r="G42" s="1113"/>
      <c r="H42" s="1112"/>
      <c r="I42" s="742"/>
      <c r="J42" s="742"/>
      <c r="K42" s="743"/>
      <c r="L42" s="1131"/>
    </row>
    <row r="43" spans="1:19" ht="22.15" customHeight="1">
      <c r="A43" s="1160" t="s">
        <v>117</v>
      </c>
      <c r="B43" s="1155" t="s">
        <v>608</v>
      </c>
      <c r="C43" s="1111" t="s">
        <v>90</v>
      </c>
      <c r="D43" s="1111">
        <v>1</v>
      </c>
      <c r="E43" s="1112"/>
      <c r="F43" s="742"/>
      <c r="G43" s="742"/>
      <c r="H43" s="742"/>
      <c r="I43" s="742"/>
      <c r="J43" s="742"/>
      <c r="K43" s="743"/>
      <c r="L43" s="1131"/>
      <c r="M43" s="745" t="s">
        <v>241</v>
      </c>
      <c r="N43" s="742">
        <v>2225101</v>
      </c>
    </row>
    <row r="44" spans="1:19" ht="22.15" customHeight="1">
      <c r="A44" s="1149">
        <v>2</v>
      </c>
      <c r="B44" s="1150" t="s">
        <v>1140</v>
      </c>
      <c r="C44" s="1151" t="s">
        <v>605</v>
      </c>
      <c r="D44" s="1152">
        <v>1</v>
      </c>
      <c r="E44" s="1123"/>
      <c r="F44" s="1153"/>
      <c r="G44" s="1124"/>
      <c r="H44" s="1123"/>
      <c r="I44" s="1125"/>
      <c r="J44" s="1125"/>
      <c r="K44" s="1125"/>
      <c r="L44" s="1126"/>
    </row>
    <row r="45" spans="1:19" ht="22.15" customHeight="1">
      <c r="A45" s="1154"/>
      <c r="B45" s="1155" t="s">
        <v>1141</v>
      </c>
      <c r="C45" s="1111" t="s">
        <v>90</v>
      </c>
      <c r="D45" s="1111">
        <v>1</v>
      </c>
      <c r="E45" s="1112"/>
      <c r="F45" s="1156"/>
      <c r="G45" s="1113"/>
      <c r="H45" s="1112"/>
      <c r="I45" s="742"/>
      <c r="J45" s="742"/>
      <c r="K45" s="743"/>
      <c r="L45" s="1131"/>
    </row>
    <row r="46" spans="1:19" ht="22.15" customHeight="1">
      <c r="A46" s="1154"/>
      <c r="B46" s="1157" t="s">
        <v>606</v>
      </c>
      <c r="C46" s="1129" t="s">
        <v>89</v>
      </c>
      <c r="D46" s="1158">
        <v>5.9039999999999995E-3</v>
      </c>
      <c r="E46" s="742"/>
      <c r="F46" s="742"/>
      <c r="G46" s="1113"/>
      <c r="H46" s="1112"/>
      <c r="I46" s="742"/>
      <c r="J46" s="742"/>
      <c r="K46" s="743"/>
      <c r="L46" s="1131"/>
    </row>
    <row r="47" spans="1:19" ht="22.15" customHeight="1">
      <c r="A47" s="1154"/>
      <c r="B47" s="1128" t="s">
        <v>607</v>
      </c>
      <c r="C47" s="1129" t="s">
        <v>87</v>
      </c>
      <c r="D47" s="1159">
        <v>1</v>
      </c>
      <c r="E47" s="742"/>
      <c r="F47" s="742"/>
      <c r="G47" s="1113"/>
      <c r="H47" s="1112"/>
      <c r="I47" s="742"/>
      <c r="J47" s="742"/>
      <c r="K47" s="743"/>
      <c r="L47" s="1131"/>
    </row>
    <row r="48" spans="1:19" ht="22.15" customHeight="1">
      <c r="A48" s="1160" t="s">
        <v>274</v>
      </c>
      <c r="B48" s="1155" t="s">
        <v>951</v>
      </c>
      <c r="C48" s="1111" t="s">
        <v>90</v>
      </c>
      <c r="D48" s="1111">
        <v>1</v>
      </c>
      <c r="E48" s="1112"/>
      <c r="F48" s="742"/>
      <c r="G48" s="742"/>
      <c r="H48" s="742"/>
      <c r="I48" s="742"/>
      <c r="J48" s="742"/>
      <c r="K48" s="743"/>
      <c r="L48" s="1131"/>
      <c r="M48" s="745" t="s">
        <v>241</v>
      </c>
      <c r="N48" s="742">
        <v>2225101</v>
      </c>
    </row>
    <row r="49" spans="1:14" ht="22.15" customHeight="1">
      <c r="A49" s="1117" t="s">
        <v>46</v>
      </c>
      <c r="B49" s="1118" t="s">
        <v>20</v>
      </c>
      <c r="C49" s="1111"/>
      <c r="D49" s="1111"/>
      <c r="E49" s="1112"/>
      <c r="F49" s="742"/>
      <c r="G49" s="1113"/>
      <c r="H49" s="1113"/>
      <c r="I49" s="1112"/>
      <c r="J49" s="1112"/>
      <c r="K49" s="1112"/>
      <c r="L49" s="1114"/>
    </row>
    <row r="50" spans="1:14" ht="22.15" customHeight="1">
      <c r="A50" s="1149">
        <v>1</v>
      </c>
      <c r="B50" s="1150" t="s">
        <v>611</v>
      </c>
      <c r="C50" s="1151" t="s">
        <v>87</v>
      </c>
      <c r="D50" s="1152">
        <v>1</v>
      </c>
      <c r="E50" s="1123"/>
      <c r="F50" s="1153"/>
      <c r="G50" s="1124"/>
      <c r="H50" s="1123"/>
      <c r="I50" s="1125"/>
      <c r="J50" s="1125"/>
      <c r="K50" s="1125"/>
      <c r="L50" s="1126"/>
    </row>
    <row r="51" spans="1:14" s="1171" customFormat="1" ht="22.15" customHeight="1">
      <c r="A51" s="1161"/>
      <c r="B51" s="1162" t="s">
        <v>696</v>
      </c>
      <c r="C51" s="1163" t="s">
        <v>16</v>
      </c>
      <c r="D51" s="1164">
        <v>2</v>
      </c>
      <c r="E51" s="1165"/>
      <c r="F51" s="1166"/>
      <c r="G51" s="1167"/>
      <c r="H51" s="1167"/>
      <c r="I51" s="1168"/>
      <c r="J51" s="1166"/>
      <c r="K51" s="1169"/>
      <c r="L51" s="1170"/>
    </row>
    <row r="52" spans="1:14" s="1171" customFormat="1" ht="22.15" customHeight="1">
      <c r="A52" s="1161"/>
      <c r="B52" s="1172" t="s">
        <v>255</v>
      </c>
      <c r="C52" s="1173" t="s">
        <v>87</v>
      </c>
      <c r="D52" s="1173">
        <v>2</v>
      </c>
      <c r="E52" s="1165"/>
      <c r="F52" s="1166"/>
      <c r="G52" s="1167"/>
      <c r="H52" s="1167"/>
      <c r="I52" s="1168"/>
      <c r="J52" s="1166"/>
      <c r="K52" s="1169"/>
      <c r="L52" s="1170"/>
    </row>
    <row r="53" spans="1:14" s="1171" customFormat="1" ht="22.15" customHeight="1">
      <c r="A53" s="1161"/>
      <c r="B53" s="1172" t="s">
        <v>268</v>
      </c>
      <c r="C53" s="1173" t="s">
        <v>87</v>
      </c>
      <c r="D53" s="1173">
        <v>2</v>
      </c>
      <c r="E53" s="1165"/>
      <c r="F53" s="1166"/>
      <c r="G53" s="1167"/>
      <c r="H53" s="1167"/>
      <c r="I53" s="1168"/>
      <c r="J53" s="1166"/>
      <c r="K53" s="1169"/>
      <c r="L53" s="1170"/>
    </row>
    <row r="54" spans="1:14" s="1171" customFormat="1" ht="22.15" customHeight="1">
      <c r="A54" s="1174"/>
      <c r="B54" s="1175" t="s">
        <v>88</v>
      </c>
      <c r="C54" s="1176" t="s">
        <v>86</v>
      </c>
      <c r="D54" s="1177">
        <v>8</v>
      </c>
      <c r="E54" s="1168"/>
      <c r="F54" s="1166"/>
      <c r="G54" s="1167"/>
      <c r="H54" s="1167"/>
      <c r="I54" s="1168"/>
      <c r="J54" s="1166"/>
      <c r="K54" s="1169"/>
      <c r="L54" s="1170"/>
    </row>
    <row r="55" spans="1:14" ht="22.15" customHeight="1">
      <c r="A55" s="1178" t="s">
        <v>672</v>
      </c>
      <c r="B55" s="1179" t="s">
        <v>1214</v>
      </c>
      <c r="C55" s="1180" t="s">
        <v>87</v>
      </c>
      <c r="D55" s="1147">
        <v>1</v>
      </c>
      <c r="E55" s="743"/>
      <c r="F55" s="742"/>
      <c r="G55" s="742"/>
      <c r="H55" s="1113"/>
      <c r="I55" s="743"/>
      <c r="J55" s="742"/>
      <c r="K55" s="1181"/>
      <c r="L55" s="744"/>
    </row>
    <row r="56" spans="1:14" ht="22.15" customHeight="1">
      <c r="A56" s="1149">
        <v>2</v>
      </c>
      <c r="B56" s="1150" t="s">
        <v>612</v>
      </c>
      <c r="C56" s="1151" t="s">
        <v>87</v>
      </c>
      <c r="D56" s="1152">
        <v>1</v>
      </c>
      <c r="E56" s="1123"/>
      <c r="F56" s="1153"/>
      <c r="G56" s="1124"/>
      <c r="H56" s="1123"/>
      <c r="I56" s="1125"/>
      <c r="J56" s="1125"/>
      <c r="K56" s="1125"/>
      <c r="L56" s="1126"/>
    </row>
    <row r="57" spans="1:14" ht="22.15" customHeight="1">
      <c r="A57" s="1154"/>
      <c r="B57" s="1182" t="s">
        <v>489</v>
      </c>
      <c r="C57" s="1183" t="s">
        <v>16</v>
      </c>
      <c r="D57" s="1184">
        <v>2</v>
      </c>
      <c r="E57" s="1112"/>
      <c r="F57" s="1156"/>
      <c r="G57" s="1113"/>
      <c r="H57" s="1113"/>
      <c r="I57" s="743"/>
      <c r="J57" s="742"/>
      <c r="K57" s="1181"/>
      <c r="L57" s="744"/>
      <c r="N57" s="1185"/>
    </row>
    <row r="58" spans="1:14" ht="22.15" customHeight="1">
      <c r="A58" s="1154"/>
      <c r="B58" s="1182" t="s">
        <v>490</v>
      </c>
      <c r="C58" s="1183" t="s">
        <v>616</v>
      </c>
      <c r="D58" s="1184">
        <v>4</v>
      </c>
      <c r="E58" s="1112"/>
      <c r="F58" s="1156"/>
      <c r="G58" s="1113"/>
      <c r="H58" s="1113"/>
      <c r="I58" s="743"/>
      <c r="J58" s="742"/>
      <c r="K58" s="1181"/>
      <c r="L58" s="744"/>
    </row>
    <row r="59" spans="1:14" ht="22.15" customHeight="1">
      <c r="A59" s="1154"/>
      <c r="B59" s="1155" t="s">
        <v>255</v>
      </c>
      <c r="C59" s="1111" t="s">
        <v>87</v>
      </c>
      <c r="D59" s="1111">
        <v>2</v>
      </c>
      <c r="E59" s="1112"/>
      <c r="F59" s="742"/>
      <c r="G59" s="1113"/>
      <c r="H59" s="1113"/>
      <c r="I59" s="743"/>
      <c r="J59" s="742"/>
      <c r="K59" s="1181"/>
      <c r="L59" s="744"/>
    </row>
    <row r="60" spans="1:14" ht="22.15" customHeight="1">
      <c r="A60" s="1154"/>
      <c r="B60" s="1155" t="s">
        <v>268</v>
      </c>
      <c r="C60" s="1111" t="s">
        <v>87</v>
      </c>
      <c r="D60" s="1111">
        <v>2</v>
      </c>
      <c r="E60" s="1112"/>
      <c r="F60" s="742"/>
      <c r="G60" s="1113"/>
      <c r="H60" s="1113"/>
      <c r="I60" s="743"/>
      <c r="J60" s="742"/>
      <c r="K60" s="1181"/>
      <c r="L60" s="744"/>
    </row>
    <row r="61" spans="1:14" ht="22.15" customHeight="1">
      <c r="A61" s="1160"/>
      <c r="B61" s="1186" t="s">
        <v>259</v>
      </c>
      <c r="C61" s="1159" t="s">
        <v>87</v>
      </c>
      <c r="D61" s="1147">
        <v>4</v>
      </c>
      <c r="E61" s="743"/>
      <c r="F61" s="742"/>
      <c r="G61" s="1113"/>
      <c r="H61" s="1113"/>
      <c r="I61" s="743"/>
      <c r="J61" s="742"/>
      <c r="K61" s="1181"/>
      <c r="L61" s="744"/>
    </row>
    <row r="62" spans="1:14" ht="22.15" customHeight="1">
      <c r="A62" s="1160"/>
      <c r="B62" s="1186" t="s">
        <v>88</v>
      </c>
      <c r="C62" s="1159" t="s">
        <v>86</v>
      </c>
      <c r="D62" s="1147">
        <v>16</v>
      </c>
      <c r="E62" s="743"/>
      <c r="F62" s="742"/>
      <c r="G62" s="1113"/>
      <c r="H62" s="1113"/>
      <c r="I62" s="743"/>
      <c r="J62" s="742"/>
      <c r="K62" s="1181"/>
      <c r="L62" s="744"/>
    </row>
    <row r="63" spans="1:14" ht="22.15" customHeight="1">
      <c r="A63" s="1178" t="s">
        <v>272</v>
      </c>
      <c r="B63" s="1179" t="s">
        <v>335</v>
      </c>
      <c r="C63" s="1180" t="s">
        <v>87</v>
      </c>
      <c r="D63" s="1147">
        <v>1</v>
      </c>
      <c r="E63" s="743"/>
      <c r="F63" s="742"/>
      <c r="G63" s="742"/>
      <c r="H63" s="1113"/>
      <c r="I63" s="743"/>
      <c r="J63" s="742"/>
      <c r="K63" s="1181"/>
      <c r="L63" s="744"/>
    </row>
    <row r="64" spans="1:14" ht="22.15" customHeight="1">
      <c r="A64" s="1149">
        <v>3</v>
      </c>
      <c r="B64" s="1150" t="s">
        <v>609</v>
      </c>
      <c r="C64" s="1151" t="s">
        <v>87</v>
      </c>
      <c r="D64" s="1152">
        <v>1</v>
      </c>
      <c r="E64" s="1123"/>
      <c r="F64" s="1153"/>
      <c r="G64" s="1124"/>
      <c r="H64" s="1123"/>
      <c r="I64" s="1125"/>
      <c r="J64" s="1125"/>
      <c r="K64" s="1125"/>
      <c r="L64" s="1126"/>
    </row>
    <row r="65" spans="1:15" ht="22.15" customHeight="1">
      <c r="A65" s="1154"/>
      <c r="B65" s="1182" t="s">
        <v>489</v>
      </c>
      <c r="C65" s="1183" t="s">
        <v>16</v>
      </c>
      <c r="D65" s="1184">
        <v>1</v>
      </c>
      <c r="E65" s="1187"/>
      <c r="F65" s="1156"/>
      <c r="G65" s="742"/>
      <c r="H65" s="1112"/>
      <c r="I65" s="743"/>
      <c r="J65" s="742"/>
      <c r="K65" s="743"/>
      <c r="L65" s="744"/>
    </row>
    <row r="66" spans="1:15" ht="22.15" customHeight="1">
      <c r="A66" s="1154"/>
      <c r="B66" s="1182" t="s">
        <v>490</v>
      </c>
      <c r="C66" s="1183" t="s">
        <v>616</v>
      </c>
      <c r="D66" s="1184">
        <v>2</v>
      </c>
      <c r="E66" s="743"/>
      <c r="F66" s="1156"/>
      <c r="G66" s="742"/>
      <c r="H66" s="1113"/>
      <c r="I66" s="743"/>
      <c r="J66" s="742"/>
      <c r="K66" s="1181"/>
      <c r="L66" s="744"/>
    </row>
    <row r="67" spans="1:15" ht="22.15" customHeight="1">
      <c r="A67" s="1154"/>
      <c r="B67" s="1155" t="s">
        <v>255</v>
      </c>
      <c r="C67" s="1111" t="s">
        <v>87</v>
      </c>
      <c r="D67" s="1111">
        <v>2</v>
      </c>
      <c r="E67" s="1112"/>
      <c r="F67" s="742"/>
      <c r="G67" s="1113"/>
      <c r="H67" s="1113"/>
      <c r="I67" s="1188"/>
      <c r="J67" s="742"/>
      <c r="K67" s="1181"/>
      <c r="L67" s="744"/>
    </row>
    <row r="68" spans="1:15" ht="22.15" customHeight="1">
      <c r="A68" s="1160"/>
      <c r="B68" s="1186" t="s">
        <v>259</v>
      </c>
      <c r="C68" s="1159" t="s">
        <v>87</v>
      </c>
      <c r="D68" s="1147">
        <v>2</v>
      </c>
      <c r="E68" s="1112"/>
      <c r="F68" s="742"/>
      <c r="G68" s="1113"/>
      <c r="H68" s="1113"/>
      <c r="I68" s="743"/>
      <c r="J68" s="742"/>
      <c r="K68" s="1181"/>
      <c r="L68" s="744"/>
    </row>
    <row r="69" spans="1:15" ht="22.15" customHeight="1">
      <c r="A69" s="1160"/>
      <c r="B69" s="1186" t="s">
        <v>88</v>
      </c>
      <c r="C69" s="1159" t="s">
        <v>86</v>
      </c>
      <c r="D69" s="1147">
        <v>8</v>
      </c>
      <c r="E69" s="1112"/>
      <c r="F69" s="742"/>
      <c r="G69" s="1113"/>
      <c r="H69" s="1113"/>
      <c r="I69" s="743"/>
      <c r="J69" s="742"/>
      <c r="K69" s="1181"/>
      <c r="L69" s="744"/>
    </row>
    <row r="70" spans="1:15" ht="22.15" customHeight="1">
      <c r="A70" s="1178" t="s">
        <v>671</v>
      </c>
      <c r="B70" s="1179" t="s">
        <v>697</v>
      </c>
      <c r="C70" s="1180" t="s">
        <v>87</v>
      </c>
      <c r="D70" s="1147">
        <v>1</v>
      </c>
      <c r="E70" s="1112"/>
      <c r="F70" s="742"/>
      <c r="G70" s="742"/>
      <c r="H70" s="1113"/>
      <c r="I70" s="743"/>
      <c r="J70" s="742"/>
      <c r="K70" s="1181"/>
      <c r="L70" s="744"/>
      <c r="N70" s="745">
        <v>119000</v>
      </c>
      <c r="O70" s="745">
        <v>920</v>
      </c>
    </row>
    <row r="71" spans="1:15" ht="22.15" customHeight="1">
      <c r="A71" s="1149">
        <v>4</v>
      </c>
      <c r="B71" s="1150" t="s">
        <v>956</v>
      </c>
      <c r="C71" s="1151" t="s">
        <v>87</v>
      </c>
      <c r="D71" s="1152">
        <v>1</v>
      </c>
      <c r="E71" s="1123"/>
      <c r="F71" s="1153"/>
      <c r="G71" s="1124"/>
      <c r="H71" s="1123"/>
      <c r="I71" s="1125"/>
      <c r="J71" s="1125"/>
      <c r="K71" s="1125"/>
      <c r="L71" s="1126"/>
      <c r="N71" s="745">
        <f>O71*N70/O70</f>
        <v>148750</v>
      </c>
      <c r="O71" s="745">
        <v>1150</v>
      </c>
    </row>
    <row r="72" spans="1:15" ht="22.15" customHeight="1">
      <c r="A72" s="1154"/>
      <c r="B72" s="1182" t="s">
        <v>957</v>
      </c>
      <c r="C72" s="1183" t="s">
        <v>16</v>
      </c>
      <c r="D72" s="1184">
        <v>1</v>
      </c>
      <c r="E72" s="1112"/>
      <c r="F72" s="1156"/>
      <c r="G72" s="1113"/>
      <c r="H72" s="1112"/>
      <c r="I72" s="743"/>
      <c r="J72" s="742"/>
      <c r="K72" s="743"/>
      <c r="L72" s="744"/>
    </row>
    <row r="73" spans="1:15" ht="22.15" customHeight="1">
      <c r="A73" s="1154"/>
      <c r="B73" s="1182" t="s">
        <v>958</v>
      </c>
      <c r="C73" s="1183" t="s">
        <v>616</v>
      </c>
      <c r="D73" s="1184">
        <v>1</v>
      </c>
      <c r="E73" s="1112"/>
      <c r="F73" s="742"/>
      <c r="G73" s="1113"/>
      <c r="H73" s="1113"/>
      <c r="I73" s="743"/>
      <c r="J73" s="742"/>
      <c r="K73" s="1181"/>
      <c r="L73" s="744"/>
    </row>
    <row r="74" spans="1:15" ht="22.15" customHeight="1">
      <c r="A74" s="1154"/>
      <c r="B74" s="1155" t="s">
        <v>255</v>
      </c>
      <c r="C74" s="1111" t="s">
        <v>87</v>
      </c>
      <c r="D74" s="1111">
        <v>2</v>
      </c>
      <c r="E74" s="1112"/>
      <c r="F74" s="742"/>
      <c r="G74" s="1113"/>
      <c r="H74" s="1113"/>
      <c r="I74" s="1188"/>
      <c r="J74" s="742"/>
      <c r="K74" s="1181"/>
      <c r="L74" s="744"/>
    </row>
    <row r="75" spans="1:15" ht="22.15" customHeight="1">
      <c r="A75" s="1160"/>
      <c r="B75" s="1186" t="s">
        <v>259</v>
      </c>
      <c r="C75" s="1159" t="s">
        <v>87</v>
      </c>
      <c r="D75" s="1147">
        <v>1</v>
      </c>
      <c r="E75" s="1112"/>
      <c r="F75" s="742"/>
      <c r="G75" s="1113"/>
      <c r="H75" s="1113"/>
      <c r="I75" s="743"/>
      <c r="J75" s="742"/>
      <c r="K75" s="1181"/>
      <c r="L75" s="744"/>
    </row>
    <row r="76" spans="1:15" ht="22.15" customHeight="1">
      <c r="A76" s="1160"/>
      <c r="B76" s="1186" t="s">
        <v>88</v>
      </c>
      <c r="C76" s="1159" t="s">
        <v>86</v>
      </c>
      <c r="D76" s="1147">
        <v>6</v>
      </c>
      <c r="E76" s="1112"/>
      <c r="F76" s="742"/>
      <c r="G76" s="1113"/>
      <c r="H76" s="1113"/>
      <c r="I76" s="743"/>
      <c r="J76" s="742"/>
      <c r="K76" s="1181"/>
      <c r="L76" s="744"/>
    </row>
    <row r="77" spans="1:15" ht="22.15" customHeight="1">
      <c r="A77" s="1178" t="s">
        <v>671</v>
      </c>
      <c r="B77" s="1179" t="s">
        <v>960</v>
      </c>
      <c r="C77" s="1180" t="s">
        <v>87</v>
      </c>
      <c r="D77" s="1147">
        <v>1</v>
      </c>
      <c r="E77" s="743"/>
      <c r="F77" s="742"/>
      <c r="G77" s="742"/>
      <c r="H77" s="1113"/>
      <c r="I77" s="743"/>
      <c r="J77" s="742"/>
      <c r="K77" s="1181"/>
      <c r="L77" s="744"/>
    </row>
    <row r="78" spans="1:15" ht="22.15" customHeight="1">
      <c r="A78" s="1149">
        <v>5</v>
      </c>
      <c r="B78" s="1150" t="s">
        <v>959</v>
      </c>
      <c r="C78" s="1151" t="s">
        <v>87</v>
      </c>
      <c r="D78" s="1152">
        <v>1</v>
      </c>
      <c r="E78" s="1123"/>
      <c r="F78" s="1153"/>
      <c r="G78" s="1124"/>
      <c r="H78" s="1123"/>
      <c r="I78" s="1125"/>
      <c r="J78" s="1125"/>
      <c r="K78" s="1125"/>
      <c r="L78" s="1126"/>
    </row>
    <row r="79" spans="1:15" ht="22.15" customHeight="1">
      <c r="A79" s="1154"/>
      <c r="B79" s="1182" t="s">
        <v>957</v>
      </c>
      <c r="C79" s="1183" t="s">
        <v>16</v>
      </c>
      <c r="D79" s="1184">
        <v>2</v>
      </c>
      <c r="E79" s="1112"/>
      <c r="F79" s="1156"/>
      <c r="G79" s="1113"/>
      <c r="H79" s="1112"/>
      <c r="I79" s="743"/>
      <c r="J79" s="742"/>
      <c r="K79" s="743"/>
      <c r="L79" s="744"/>
    </row>
    <row r="80" spans="1:15" ht="22.15" customHeight="1">
      <c r="A80" s="1154"/>
      <c r="B80" s="1182" t="s">
        <v>958</v>
      </c>
      <c r="C80" s="1183" t="s">
        <v>616</v>
      </c>
      <c r="D80" s="1184">
        <v>2</v>
      </c>
      <c r="E80" s="1112"/>
      <c r="F80" s="742"/>
      <c r="G80" s="1113"/>
      <c r="H80" s="1113"/>
      <c r="I80" s="743"/>
      <c r="J80" s="742"/>
      <c r="K80" s="1181"/>
      <c r="L80" s="744"/>
    </row>
    <row r="81" spans="1:14" ht="22.15" customHeight="1">
      <c r="A81" s="1154"/>
      <c r="B81" s="1155" t="s">
        <v>268</v>
      </c>
      <c r="C81" s="1111" t="s">
        <v>87</v>
      </c>
      <c r="D81" s="1111">
        <v>2</v>
      </c>
      <c r="E81" s="1112"/>
      <c r="F81" s="742"/>
      <c r="G81" s="1113"/>
      <c r="H81" s="1113"/>
      <c r="I81" s="743"/>
      <c r="J81" s="742"/>
      <c r="K81" s="1181"/>
      <c r="L81" s="744"/>
    </row>
    <row r="82" spans="1:14" ht="22.15" customHeight="1">
      <c r="A82" s="1154"/>
      <c r="B82" s="1155" t="s">
        <v>255</v>
      </c>
      <c r="C82" s="1111" t="s">
        <v>87</v>
      </c>
      <c r="D82" s="1111">
        <v>2</v>
      </c>
      <c r="E82" s="1112"/>
      <c r="F82" s="742"/>
      <c r="G82" s="1113"/>
      <c r="H82" s="1113"/>
      <c r="I82" s="1188"/>
      <c r="J82" s="742"/>
      <c r="K82" s="1181"/>
      <c r="L82" s="744"/>
    </row>
    <row r="83" spans="1:14" ht="22.15" customHeight="1">
      <c r="A83" s="1160"/>
      <c r="B83" s="1186" t="s">
        <v>259</v>
      </c>
      <c r="C83" s="1159" t="s">
        <v>87</v>
      </c>
      <c r="D83" s="1147">
        <v>2</v>
      </c>
      <c r="E83" s="1112"/>
      <c r="F83" s="742"/>
      <c r="G83" s="1113"/>
      <c r="H83" s="1113"/>
      <c r="I83" s="743"/>
      <c r="J83" s="742"/>
      <c r="K83" s="1181"/>
      <c r="L83" s="744"/>
    </row>
    <row r="84" spans="1:14" ht="22.15" customHeight="1">
      <c r="A84" s="1160"/>
      <c r="B84" s="1186" t="s">
        <v>88</v>
      </c>
      <c r="C84" s="1159" t="s">
        <v>86</v>
      </c>
      <c r="D84" s="1147">
        <v>12</v>
      </c>
      <c r="E84" s="1112"/>
      <c r="F84" s="742"/>
      <c r="G84" s="1113"/>
      <c r="H84" s="1113"/>
      <c r="I84" s="743"/>
      <c r="J84" s="742"/>
      <c r="K84" s="1181"/>
      <c r="L84" s="744"/>
    </row>
    <row r="85" spans="1:14" ht="22.15" customHeight="1">
      <c r="A85" s="1178" t="s">
        <v>671</v>
      </c>
      <c r="B85" s="1179" t="s">
        <v>961</v>
      </c>
      <c r="C85" s="1180" t="s">
        <v>87</v>
      </c>
      <c r="D85" s="1147">
        <v>1</v>
      </c>
      <c r="E85" s="743"/>
      <c r="F85" s="742"/>
      <c r="G85" s="742"/>
      <c r="H85" s="1113"/>
      <c r="I85" s="743"/>
      <c r="J85" s="742"/>
      <c r="K85" s="1181"/>
      <c r="L85" s="744"/>
    </row>
    <row r="86" spans="1:14" ht="22.15" customHeight="1">
      <c r="A86" s="1149">
        <v>6</v>
      </c>
      <c r="B86" s="1150" t="s">
        <v>613</v>
      </c>
      <c r="C86" s="1151" t="s">
        <v>87</v>
      </c>
      <c r="D86" s="1152">
        <v>1</v>
      </c>
      <c r="E86" s="1123"/>
      <c r="F86" s="1153"/>
      <c r="G86" s="1124"/>
      <c r="H86" s="1123"/>
      <c r="I86" s="1125"/>
      <c r="J86" s="1125"/>
      <c r="K86" s="1125"/>
      <c r="L86" s="1126"/>
    </row>
    <row r="87" spans="1:14" ht="22.15" customHeight="1">
      <c r="A87" s="1154"/>
      <c r="B87" s="1182" t="s">
        <v>698</v>
      </c>
      <c r="C87" s="1183" t="s">
        <v>16</v>
      </c>
      <c r="D87" s="1184">
        <v>2</v>
      </c>
      <c r="E87" s="1187"/>
      <c r="F87" s="742"/>
      <c r="G87" s="742"/>
      <c r="H87" s="1112"/>
      <c r="I87" s="743"/>
      <c r="J87" s="742"/>
      <c r="K87" s="743"/>
      <c r="L87" s="744"/>
    </row>
    <row r="88" spans="1:14" ht="22.15" customHeight="1">
      <c r="A88" s="1154"/>
      <c r="B88" s="1182" t="s">
        <v>490</v>
      </c>
      <c r="C88" s="1183" t="s">
        <v>616</v>
      </c>
      <c r="D88" s="1184">
        <v>4</v>
      </c>
      <c r="E88" s="743"/>
      <c r="F88" s="1156"/>
      <c r="G88" s="742"/>
      <c r="H88" s="1113"/>
      <c r="I88" s="743"/>
      <c r="J88" s="742"/>
      <c r="K88" s="1181"/>
      <c r="L88" s="744"/>
    </row>
    <row r="89" spans="1:14" ht="22.15" customHeight="1">
      <c r="A89" s="1154"/>
      <c r="B89" s="1155" t="s">
        <v>255</v>
      </c>
      <c r="C89" s="1111" t="s">
        <v>87</v>
      </c>
      <c r="D89" s="1111">
        <v>2</v>
      </c>
      <c r="E89" s="1112"/>
      <c r="F89" s="742"/>
      <c r="G89" s="1113"/>
      <c r="H89" s="1113"/>
      <c r="I89" s="1188"/>
      <c r="J89" s="742"/>
      <c r="K89" s="1181"/>
      <c r="L89" s="744"/>
    </row>
    <row r="90" spans="1:14" ht="22.15" customHeight="1">
      <c r="A90" s="1154"/>
      <c r="B90" s="1155" t="s">
        <v>268</v>
      </c>
      <c r="C90" s="1111" t="s">
        <v>87</v>
      </c>
      <c r="D90" s="1111">
        <v>2</v>
      </c>
      <c r="E90" s="1112"/>
      <c r="F90" s="742"/>
      <c r="G90" s="1113"/>
      <c r="H90" s="1113"/>
      <c r="I90" s="743"/>
      <c r="J90" s="742"/>
      <c r="K90" s="1181"/>
      <c r="L90" s="744"/>
    </row>
    <row r="91" spans="1:14" ht="22.15" customHeight="1">
      <c r="A91" s="1160"/>
      <c r="B91" s="1186" t="s">
        <v>259</v>
      </c>
      <c r="C91" s="1159" t="s">
        <v>87</v>
      </c>
      <c r="D91" s="1147">
        <v>4</v>
      </c>
      <c r="E91" s="1112"/>
      <c r="F91" s="742"/>
      <c r="G91" s="1113"/>
      <c r="H91" s="1113"/>
      <c r="I91" s="743"/>
      <c r="J91" s="742"/>
      <c r="K91" s="1181"/>
      <c r="L91" s="744"/>
    </row>
    <row r="92" spans="1:14" ht="22.15" customHeight="1">
      <c r="A92" s="1160"/>
      <c r="B92" s="1186" t="s">
        <v>88</v>
      </c>
      <c r="C92" s="1159" t="s">
        <v>86</v>
      </c>
      <c r="D92" s="1147">
        <v>16</v>
      </c>
      <c r="E92" s="1112"/>
      <c r="F92" s="742"/>
      <c r="G92" s="1113"/>
      <c r="H92" s="1113"/>
      <c r="I92" s="743"/>
      <c r="J92" s="742"/>
      <c r="K92" s="1181"/>
      <c r="L92" s="744"/>
    </row>
    <row r="93" spans="1:14" ht="22.15" customHeight="1">
      <c r="A93" s="1178" t="s">
        <v>672</v>
      </c>
      <c r="B93" s="1179" t="s">
        <v>699</v>
      </c>
      <c r="C93" s="1180" t="s">
        <v>87</v>
      </c>
      <c r="D93" s="1147">
        <v>1</v>
      </c>
      <c r="E93" s="743"/>
      <c r="F93" s="742"/>
      <c r="G93" s="742"/>
      <c r="H93" s="1113"/>
      <c r="I93" s="743"/>
      <c r="J93" s="742"/>
      <c r="K93" s="1181"/>
      <c r="L93" s="744"/>
    </row>
    <row r="94" spans="1:14" ht="22.15" customHeight="1">
      <c r="A94" s="1149">
        <v>7</v>
      </c>
      <c r="B94" s="1150" t="s">
        <v>585</v>
      </c>
      <c r="C94" s="1151" t="s">
        <v>87</v>
      </c>
      <c r="D94" s="1152">
        <v>1</v>
      </c>
      <c r="E94" s="1123"/>
      <c r="F94" s="1153"/>
      <c r="G94" s="1124"/>
      <c r="H94" s="1123"/>
      <c r="I94" s="1125"/>
      <c r="J94" s="1125"/>
      <c r="K94" s="1125"/>
      <c r="L94" s="1126"/>
    </row>
    <row r="95" spans="1:14" ht="22.15" customHeight="1">
      <c r="A95" s="1154"/>
      <c r="B95" s="1182" t="s">
        <v>489</v>
      </c>
      <c r="C95" s="1183" t="s">
        <v>16</v>
      </c>
      <c r="D95" s="1184">
        <v>2</v>
      </c>
      <c r="E95" s="1112"/>
      <c r="F95" s="1156"/>
      <c r="G95" s="1113"/>
      <c r="H95" s="1113"/>
      <c r="I95" s="743"/>
      <c r="J95" s="742"/>
      <c r="K95" s="1181"/>
      <c r="L95" s="744"/>
      <c r="N95" s="1185"/>
    </row>
    <row r="96" spans="1:14" ht="22.15" customHeight="1">
      <c r="A96" s="1154"/>
      <c r="B96" s="1182" t="s">
        <v>490</v>
      </c>
      <c r="C96" s="1183" t="s">
        <v>616</v>
      </c>
      <c r="D96" s="1184">
        <v>4</v>
      </c>
      <c r="E96" s="1112"/>
      <c r="F96" s="1156"/>
      <c r="G96" s="1113"/>
      <c r="H96" s="1113"/>
      <c r="I96" s="743"/>
      <c r="J96" s="742"/>
      <c r="K96" s="1181"/>
      <c r="L96" s="744"/>
    </row>
    <row r="97" spans="1:16" ht="22.15" customHeight="1">
      <c r="A97" s="1154"/>
      <c r="B97" s="1182" t="s">
        <v>614</v>
      </c>
      <c r="C97" s="1183" t="s">
        <v>16</v>
      </c>
      <c r="D97" s="1184">
        <v>1</v>
      </c>
      <c r="E97" s="1112"/>
      <c r="F97" s="1156"/>
      <c r="G97" s="1113"/>
      <c r="H97" s="1113"/>
      <c r="I97" s="743"/>
      <c r="J97" s="742"/>
      <c r="K97" s="1181"/>
      <c r="L97" s="744"/>
    </row>
    <row r="98" spans="1:16" ht="22.15" customHeight="1">
      <c r="A98" s="1154"/>
      <c r="B98" s="1155" t="s">
        <v>255</v>
      </c>
      <c r="C98" s="1111" t="s">
        <v>87</v>
      </c>
      <c r="D98" s="1111">
        <v>2</v>
      </c>
      <c r="E98" s="1112"/>
      <c r="F98" s="742"/>
      <c r="G98" s="1113"/>
      <c r="H98" s="1113"/>
      <c r="I98" s="743"/>
      <c r="J98" s="742"/>
      <c r="K98" s="1181"/>
      <c r="L98" s="744"/>
    </row>
    <row r="99" spans="1:16" ht="22.15" customHeight="1">
      <c r="A99" s="1154"/>
      <c r="B99" s="1155" t="s">
        <v>268</v>
      </c>
      <c r="C99" s="1111" t="s">
        <v>87</v>
      </c>
      <c r="D99" s="1111">
        <v>2</v>
      </c>
      <c r="E99" s="1112"/>
      <c r="F99" s="742"/>
      <c r="G99" s="1113"/>
      <c r="H99" s="1113"/>
      <c r="I99" s="743"/>
      <c r="J99" s="742"/>
      <c r="K99" s="1181"/>
      <c r="L99" s="744"/>
    </row>
    <row r="100" spans="1:16" ht="22.15" customHeight="1">
      <c r="A100" s="1154"/>
      <c r="B100" s="1155" t="s">
        <v>615</v>
      </c>
      <c r="C100" s="1111" t="s">
        <v>87</v>
      </c>
      <c r="D100" s="1111">
        <v>2</v>
      </c>
      <c r="E100" s="1112"/>
      <c r="F100" s="742"/>
      <c r="G100" s="1113"/>
      <c r="H100" s="1113"/>
      <c r="I100" s="743"/>
      <c r="J100" s="742"/>
      <c r="K100" s="1181"/>
      <c r="L100" s="744"/>
    </row>
    <row r="101" spans="1:16" ht="22.15" customHeight="1">
      <c r="A101" s="1160"/>
      <c r="B101" s="1186" t="s">
        <v>259</v>
      </c>
      <c r="C101" s="1159" t="s">
        <v>87</v>
      </c>
      <c r="D101" s="1147">
        <v>4</v>
      </c>
      <c r="E101" s="743"/>
      <c r="F101" s="742"/>
      <c r="G101" s="1113"/>
      <c r="H101" s="1113"/>
      <c r="I101" s="743"/>
      <c r="J101" s="742"/>
      <c r="K101" s="1181"/>
      <c r="L101" s="744"/>
    </row>
    <row r="102" spans="1:16" ht="22.15" customHeight="1">
      <c r="A102" s="1160"/>
      <c r="B102" s="1186" t="s">
        <v>88</v>
      </c>
      <c r="C102" s="1159" t="s">
        <v>86</v>
      </c>
      <c r="D102" s="1147">
        <v>20</v>
      </c>
      <c r="E102" s="743"/>
      <c r="F102" s="742"/>
      <c r="G102" s="1113"/>
      <c r="H102" s="1113"/>
      <c r="I102" s="743"/>
      <c r="J102" s="742"/>
      <c r="K102" s="1181"/>
      <c r="L102" s="744"/>
    </row>
    <row r="103" spans="1:16" ht="22.15" customHeight="1">
      <c r="A103" s="1160" t="s">
        <v>1208</v>
      </c>
      <c r="B103" s="1179" t="s">
        <v>1207</v>
      </c>
      <c r="C103" s="1180" t="s">
        <v>87</v>
      </c>
      <c r="D103" s="1147">
        <v>1</v>
      </c>
      <c r="E103" s="743"/>
      <c r="F103" s="742"/>
      <c r="G103" s="742"/>
      <c r="H103" s="1113"/>
      <c r="I103" s="743"/>
      <c r="J103" s="742"/>
      <c r="K103" s="1181"/>
      <c r="L103" s="744"/>
    </row>
    <row r="104" spans="1:16" ht="22.15" customHeight="1">
      <c r="A104" s="1178" t="s">
        <v>272</v>
      </c>
      <c r="B104" s="1179" t="s">
        <v>335</v>
      </c>
      <c r="C104" s="1180" t="s">
        <v>87</v>
      </c>
      <c r="D104" s="1147">
        <v>1</v>
      </c>
      <c r="E104" s="743"/>
      <c r="F104" s="742"/>
      <c r="G104" s="742"/>
      <c r="H104" s="1113"/>
      <c r="I104" s="743"/>
      <c r="J104" s="742"/>
      <c r="K104" s="1181"/>
      <c r="L104" s="744"/>
    </row>
    <row r="105" spans="1:16" s="1171" customFormat="1" ht="22.15" customHeight="1">
      <c r="A105" s="1189" t="s">
        <v>639</v>
      </c>
      <c r="B105" s="1190" t="s">
        <v>269</v>
      </c>
      <c r="C105" s="1173"/>
      <c r="D105" s="1173"/>
      <c r="E105" s="1165"/>
      <c r="F105" s="1166"/>
      <c r="G105" s="1167"/>
      <c r="H105" s="1165"/>
      <c r="I105" s="1191"/>
      <c r="J105" s="1191"/>
      <c r="K105" s="1191"/>
      <c r="L105" s="1192"/>
      <c r="M105" s="1171">
        <v>367290</v>
      </c>
      <c r="N105" s="1193">
        <v>546616</v>
      </c>
      <c r="P105" s="1171" t="s">
        <v>309</v>
      </c>
    </row>
    <row r="106" spans="1:16" ht="22.15" customHeight="1">
      <c r="A106" s="1149"/>
      <c r="B106" s="1150" t="s">
        <v>628</v>
      </c>
      <c r="C106" s="1194" t="s">
        <v>87</v>
      </c>
      <c r="D106" s="1152">
        <v>1</v>
      </c>
      <c r="E106" s="1123"/>
      <c r="F106" s="1153"/>
      <c r="G106" s="1124"/>
      <c r="H106" s="1123"/>
      <c r="I106" s="1125"/>
      <c r="J106" s="1125"/>
      <c r="K106" s="1125"/>
      <c r="L106" s="1126"/>
    </row>
    <row r="107" spans="1:16" ht="22.15" customHeight="1">
      <c r="A107" s="1154"/>
      <c r="B107" s="1155" t="s">
        <v>996</v>
      </c>
      <c r="C107" s="1111" t="s">
        <v>270</v>
      </c>
      <c r="D107" s="1159">
        <v>1</v>
      </c>
      <c r="E107" s="1112"/>
      <c r="F107" s="742"/>
      <c r="G107" s="742"/>
      <c r="H107" s="742"/>
      <c r="I107" s="743"/>
      <c r="J107" s="742"/>
      <c r="K107" s="743"/>
      <c r="L107" s="744"/>
      <c r="N107" s="746"/>
    </row>
    <row r="108" spans="1:16" ht="22.15" customHeight="1">
      <c r="A108" s="1117"/>
      <c r="B108" s="1155" t="s">
        <v>261</v>
      </c>
      <c r="C108" s="1111" t="s">
        <v>86</v>
      </c>
      <c r="D108" s="1159">
        <v>2</v>
      </c>
      <c r="E108" s="1112"/>
      <c r="F108" s="742"/>
      <c r="G108" s="742"/>
      <c r="H108" s="742"/>
      <c r="I108" s="743"/>
      <c r="J108" s="742"/>
      <c r="K108" s="743"/>
      <c r="L108" s="744"/>
      <c r="N108" s="1195"/>
    </row>
    <row r="109" spans="1:16" ht="22.15" customHeight="1">
      <c r="A109" s="1154" t="s">
        <v>336</v>
      </c>
      <c r="B109" s="1155" t="s">
        <v>997</v>
      </c>
      <c r="C109" s="1111" t="s">
        <v>87</v>
      </c>
      <c r="D109" s="1159">
        <v>1</v>
      </c>
      <c r="E109" s="1112"/>
      <c r="F109" s="742"/>
      <c r="G109" s="742"/>
      <c r="H109" s="742"/>
      <c r="I109" s="743"/>
      <c r="J109" s="742"/>
      <c r="K109" s="743"/>
      <c r="L109" s="744"/>
      <c r="N109" s="746"/>
    </row>
    <row r="110" spans="1:16" ht="22.15" customHeight="1">
      <c r="A110" s="1149"/>
      <c r="B110" s="1150" t="s">
        <v>967</v>
      </c>
      <c r="C110" s="1194" t="s">
        <v>87</v>
      </c>
      <c r="D110" s="1152">
        <v>1</v>
      </c>
      <c r="E110" s="1123"/>
      <c r="F110" s="1153"/>
      <c r="G110" s="1124"/>
      <c r="H110" s="1123"/>
      <c r="I110" s="1125"/>
      <c r="J110" s="1125"/>
      <c r="K110" s="1125"/>
      <c r="L110" s="1126"/>
    </row>
    <row r="111" spans="1:16" ht="22.15" customHeight="1">
      <c r="A111" s="1154"/>
      <c r="B111" s="1155" t="s">
        <v>967</v>
      </c>
      <c r="C111" s="1111" t="s">
        <v>86</v>
      </c>
      <c r="D111" s="1159">
        <v>1</v>
      </c>
      <c r="E111" s="1112"/>
      <c r="F111" s="742"/>
      <c r="G111" s="742"/>
      <c r="H111" s="742"/>
      <c r="I111" s="743"/>
      <c r="J111" s="742"/>
      <c r="K111" s="743"/>
      <c r="L111" s="744"/>
      <c r="N111" s="1195"/>
    </row>
    <row r="112" spans="1:16" ht="22.15" customHeight="1">
      <c r="A112" s="1154"/>
      <c r="B112" s="1155" t="s">
        <v>966</v>
      </c>
      <c r="C112" s="1111" t="s">
        <v>86</v>
      </c>
      <c r="D112" s="1159">
        <v>1</v>
      </c>
      <c r="E112" s="1112"/>
      <c r="F112" s="742"/>
      <c r="G112" s="742"/>
      <c r="H112" s="742"/>
      <c r="I112" s="743"/>
      <c r="J112" s="742"/>
      <c r="K112" s="743"/>
      <c r="L112" s="744"/>
      <c r="N112" s="1195"/>
    </row>
    <row r="113" spans="1:14" ht="22.15" customHeight="1">
      <c r="A113" s="1154"/>
      <c r="B113" s="1155" t="s">
        <v>968</v>
      </c>
      <c r="C113" s="1111" t="s">
        <v>86</v>
      </c>
      <c r="D113" s="1159">
        <v>1</v>
      </c>
      <c r="E113" s="1112"/>
      <c r="F113" s="742"/>
      <c r="G113" s="742"/>
      <c r="H113" s="742"/>
      <c r="I113" s="743"/>
      <c r="J113" s="742"/>
      <c r="K113" s="743"/>
      <c r="L113" s="744"/>
      <c r="N113" s="1195"/>
    </row>
    <row r="114" spans="1:14" ht="22.15" customHeight="1">
      <c r="A114" s="1149"/>
      <c r="B114" s="1150" t="s">
        <v>969</v>
      </c>
      <c r="C114" s="1194" t="s">
        <v>87</v>
      </c>
      <c r="D114" s="1152">
        <v>1</v>
      </c>
      <c r="E114" s="1123"/>
      <c r="F114" s="1153"/>
      <c r="G114" s="1124"/>
      <c r="H114" s="1123"/>
      <c r="I114" s="1125"/>
      <c r="J114" s="1125"/>
      <c r="K114" s="1125"/>
      <c r="L114" s="1126"/>
    </row>
    <row r="115" spans="1:14" ht="22.15" customHeight="1">
      <c r="A115" s="1154"/>
      <c r="B115" s="1155" t="s">
        <v>969</v>
      </c>
      <c r="C115" s="1111" t="s">
        <v>86</v>
      </c>
      <c r="D115" s="1159">
        <v>1</v>
      </c>
      <c r="E115" s="1112"/>
      <c r="F115" s="742"/>
      <c r="G115" s="742"/>
      <c r="H115" s="742"/>
      <c r="I115" s="743"/>
      <c r="J115" s="742"/>
      <c r="K115" s="743"/>
      <c r="L115" s="744"/>
      <c r="N115" s="1195"/>
    </row>
    <row r="116" spans="1:14" ht="22.15" customHeight="1">
      <c r="A116" s="1154"/>
      <c r="B116" s="1155" t="s">
        <v>966</v>
      </c>
      <c r="C116" s="1111" t="s">
        <v>86</v>
      </c>
      <c r="D116" s="1159">
        <v>1</v>
      </c>
      <c r="E116" s="1112"/>
      <c r="F116" s="742"/>
      <c r="G116" s="742"/>
      <c r="H116" s="742"/>
      <c r="I116" s="743"/>
      <c r="J116" s="742"/>
      <c r="K116" s="743"/>
      <c r="L116" s="744"/>
      <c r="N116" s="1195"/>
    </row>
    <row r="117" spans="1:14" ht="22.15" customHeight="1">
      <c r="A117" s="1154"/>
      <c r="B117" s="1155" t="s">
        <v>970</v>
      </c>
      <c r="C117" s="1111" t="s">
        <v>86</v>
      </c>
      <c r="D117" s="1159">
        <v>1</v>
      </c>
      <c r="E117" s="1112"/>
      <c r="F117" s="742"/>
      <c r="G117" s="742"/>
      <c r="H117" s="742"/>
      <c r="I117" s="743"/>
      <c r="J117" s="742"/>
      <c r="K117" s="743"/>
      <c r="L117" s="744"/>
      <c r="N117" s="1195"/>
    </row>
    <row r="118" spans="1:14" ht="22.15" customHeight="1">
      <c r="A118" s="1149"/>
      <c r="B118" s="1150" t="s">
        <v>995</v>
      </c>
      <c r="C118" s="1194" t="s">
        <v>87</v>
      </c>
      <c r="D118" s="1152">
        <v>1</v>
      </c>
      <c r="E118" s="1123"/>
      <c r="F118" s="1153"/>
      <c r="G118" s="1124"/>
      <c r="H118" s="1123"/>
      <c r="I118" s="1125"/>
      <c r="J118" s="1125"/>
      <c r="K118" s="1125"/>
      <c r="L118" s="1126"/>
    </row>
    <row r="119" spans="1:14" ht="22.15" customHeight="1">
      <c r="A119" s="1154"/>
      <c r="B119" s="1155" t="s">
        <v>629</v>
      </c>
      <c r="C119" s="1111" t="s">
        <v>270</v>
      </c>
      <c r="D119" s="1159">
        <v>1</v>
      </c>
      <c r="E119" s="1196"/>
      <c r="F119" s="1196"/>
      <c r="G119" s="742"/>
      <c r="H119" s="742"/>
      <c r="I119" s="743"/>
      <c r="J119" s="742"/>
      <c r="K119" s="743"/>
      <c r="L119" s="744"/>
      <c r="N119" s="746"/>
    </row>
    <row r="120" spans="1:14" ht="22.15" customHeight="1">
      <c r="A120" s="1117"/>
      <c r="B120" s="1155" t="s">
        <v>261</v>
      </c>
      <c r="C120" s="1111" t="s">
        <v>86</v>
      </c>
      <c r="D120" s="1159">
        <v>2</v>
      </c>
      <c r="E120" s="1112"/>
      <c r="F120" s="742"/>
      <c r="G120" s="742"/>
      <c r="H120" s="742"/>
      <c r="I120" s="743"/>
      <c r="J120" s="742"/>
      <c r="K120" s="743"/>
      <c r="L120" s="744"/>
      <c r="N120" s="1195"/>
    </row>
    <row r="121" spans="1:14" ht="22.15" customHeight="1">
      <c r="A121" s="1154" t="s">
        <v>336</v>
      </c>
      <c r="B121" s="1155" t="s">
        <v>632</v>
      </c>
      <c r="C121" s="1111" t="s">
        <v>87</v>
      </c>
      <c r="D121" s="1159">
        <v>1</v>
      </c>
      <c r="E121" s="1112"/>
      <c r="F121" s="742"/>
      <c r="G121" s="742"/>
      <c r="H121" s="742"/>
      <c r="I121" s="743"/>
      <c r="J121" s="742"/>
      <c r="K121" s="743"/>
      <c r="L121" s="744"/>
      <c r="N121" s="746"/>
    </row>
    <row r="122" spans="1:14" ht="22.15" customHeight="1">
      <c r="A122" s="1149"/>
      <c r="B122" s="1150" t="s">
        <v>1610</v>
      </c>
      <c r="C122" s="1194" t="s">
        <v>87</v>
      </c>
      <c r="D122" s="1152">
        <v>1</v>
      </c>
      <c r="E122" s="1123"/>
      <c r="F122" s="1153"/>
      <c r="G122" s="1124"/>
      <c r="H122" s="1123"/>
      <c r="I122" s="1125"/>
      <c r="J122" s="1125"/>
      <c r="K122" s="1125"/>
      <c r="L122" s="1126"/>
    </row>
    <row r="123" spans="1:14" ht="42" customHeight="1">
      <c r="A123" s="1154"/>
      <c r="B123" s="1155" t="s">
        <v>1611</v>
      </c>
      <c r="C123" s="1111" t="s">
        <v>86</v>
      </c>
      <c r="D123" s="1159">
        <v>1</v>
      </c>
      <c r="E123" s="1197"/>
      <c r="F123" s="742"/>
      <c r="G123" s="742"/>
      <c r="H123" s="742"/>
      <c r="I123" s="743"/>
      <c r="J123" s="742"/>
      <c r="K123" s="743"/>
      <c r="L123" s="744"/>
      <c r="N123" s="746"/>
    </row>
    <row r="124" spans="1:14" ht="45">
      <c r="A124" s="1117"/>
      <c r="B124" s="1155" t="s">
        <v>679</v>
      </c>
      <c r="C124" s="1111" t="s">
        <v>99</v>
      </c>
      <c r="D124" s="1218">
        <v>0.46666666666666662</v>
      </c>
      <c r="E124" s="1165"/>
      <c r="F124" s="1166"/>
      <c r="G124" s="1166"/>
      <c r="H124" s="1166"/>
      <c r="I124" s="743"/>
      <c r="J124" s="742"/>
      <c r="K124" s="743"/>
      <c r="L124" s="744"/>
      <c r="N124" s="1195"/>
    </row>
    <row r="125" spans="1:14" ht="22.15" customHeight="1">
      <c r="A125" s="1154" t="s">
        <v>115</v>
      </c>
      <c r="B125" s="1155" t="s">
        <v>999</v>
      </c>
      <c r="C125" s="1111" t="s">
        <v>275</v>
      </c>
      <c r="D125" s="1159">
        <v>1</v>
      </c>
      <c r="E125" s="1112"/>
      <c r="F125" s="742"/>
      <c r="G125" s="742"/>
      <c r="H125" s="742"/>
      <c r="I125" s="743"/>
      <c r="J125" s="742"/>
      <c r="K125" s="743"/>
      <c r="L125" s="744"/>
      <c r="N125" s="746"/>
    </row>
    <row r="126" spans="1:14" ht="22.15" customHeight="1">
      <c r="A126" s="1149"/>
      <c r="B126" s="1150" t="s">
        <v>998</v>
      </c>
      <c r="C126" s="1194" t="s">
        <v>87</v>
      </c>
      <c r="D126" s="1152">
        <v>1</v>
      </c>
      <c r="E126" s="1123"/>
      <c r="F126" s="1153"/>
      <c r="G126" s="1124"/>
      <c r="H126" s="1123"/>
      <c r="I126" s="1125"/>
      <c r="J126" s="1125"/>
      <c r="K126" s="1125"/>
      <c r="L126" s="1126"/>
    </row>
    <row r="127" spans="1:14" ht="22.15" customHeight="1">
      <c r="A127" s="1154"/>
      <c r="B127" s="1155" t="s">
        <v>631</v>
      </c>
      <c r="C127" s="1111" t="s">
        <v>86</v>
      </c>
      <c r="D127" s="1159">
        <v>1</v>
      </c>
      <c r="E127" s="1196"/>
      <c r="F127" s="1196"/>
      <c r="G127" s="742"/>
      <c r="H127" s="742"/>
      <c r="I127" s="743"/>
      <c r="J127" s="742"/>
      <c r="K127" s="743"/>
      <c r="L127" s="744"/>
      <c r="N127" s="746"/>
    </row>
    <row r="128" spans="1:14" ht="43.9" customHeight="1">
      <c r="A128" s="1117"/>
      <c r="B128" s="1155" t="s">
        <v>679</v>
      </c>
      <c r="C128" s="1111" t="s">
        <v>99</v>
      </c>
      <c r="D128" s="1218">
        <v>0.46666666666666662</v>
      </c>
      <c r="E128" s="1165"/>
      <c r="F128" s="1166"/>
      <c r="G128" s="1166"/>
      <c r="H128" s="742"/>
      <c r="I128" s="743"/>
      <c r="J128" s="742"/>
      <c r="K128" s="743"/>
      <c r="L128" s="744"/>
      <c r="N128" s="1195"/>
    </row>
    <row r="129" spans="1:14" ht="22.15" customHeight="1">
      <c r="A129" s="1154" t="s">
        <v>115</v>
      </c>
      <c r="B129" s="1155" t="s">
        <v>633</v>
      </c>
      <c r="C129" s="1111" t="s">
        <v>275</v>
      </c>
      <c r="D129" s="1159">
        <v>1</v>
      </c>
      <c r="E129" s="1112"/>
      <c r="F129" s="742"/>
      <c r="G129" s="742"/>
      <c r="H129" s="742"/>
      <c r="I129" s="743"/>
      <c r="J129" s="742"/>
      <c r="K129" s="743"/>
      <c r="L129" s="744"/>
      <c r="N129" s="746"/>
    </row>
    <row r="130" spans="1:14" ht="22.15" customHeight="1">
      <c r="A130" s="1149"/>
      <c r="B130" s="1150" t="s">
        <v>621</v>
      </c>
      <c r="C130" s="1194" t="s">
        <v>87</v>
      </c>
      <c r="D130" s="1152">
        <v>1</v>
      </c>
      <c r="E130" s="1123"/>
      <c r="F130" s="1153"/>
      <c r="G130" s="1124"/>
      <c r="H130" s="1123"/>
      <c r="I130" s="1125"/>
      <c r="J130" s="1125"/>
      <c r="K130" s="1125"/>
      <c r="L130" s="1126"/>
    </row>
    <row r="131" spans="1:14" ht="22.15" customHeight="1">
      <c r="A131" s="1198"/>
      <c r="B131" s="1199" t="s">
        <v>617</v>
      </c>
      <c r="C131" s="1200" t="s">
        <v>86</v>
      </c>
      <c r="D131" s="1201">
        <v>1</v>
      </c>
      <c r="E131" s="1202"/>
      <c r="F131" s="742"/>
      <c r="G131" s="1203"/>
      <c r="H131" s="1112"/>
      <c r="I131" s="743"/>
      <c r="J131" s="742"/>
      <c r="K131" s="743"/>
      <c r="L131" s="744"/>
    </row>
    <row r="132" spans="1:14" ht="22.15" customHeight="1">
      <c r="A132" s="1198"/>
      <c r="B132" s="1199" t="s">
        <v>618</v>
      </c>
      <c r="C132" s="1200" t="s">
        <v>86</v>
      </c>
      <c r="D132" s="1201">
        <v>1</v>
      </c>
      <c r="E132" s="1202"/>
      <c r="F132" s="742"/>
      <c r="G132" s="1203"/>
      <c r="H132" s="1112"/>
      <c r="I132" s="743"/>
      <c r="J132" s="742"/>
      <c r="K132" s="743"/>
      <c r="L132" s="744"/>
    </row>
    <row r="133" spans="1:14" ht="22.15" customHeight="1">
      <c r="A133" s="1204"/>
      <c r="B133" s="1205" t="s">
        <v>255</v>
      </c>
      <c r="C133" s="1200" t="s">
        <v>87</v>
      </c>
      <c r="D133" s="1201">
        <v>1</v>
      </c>
      <c r="E133" s="1202"/>
      <c r="F133" s="742"/>
      <c r="G133" s="742"/>
      <c r="H133" s="1206"/>
      <c r="I133" s="743"/>
      <c r="J133" s="742"/>
      <c r="K133" s="743"/>
      <c r="L133" s="744"/>
    </row>
    <row r="134" spans="1:14" ht="22.15" customHeight="1">
      <c r="A134" s="1127"/>
      <c r="B134" s="1146" t="s">
        <v>88</v>
      </c>
      <c r="C134" s="1207" t="s">
        <v>86</v>
      </c>
      <c r="D134" s="1145">
        <v>1</v>
      </c>
      <c r="E134" s="1208"/>
      <c r="F134" s="742"/>
      <c r="G134" s="1203"/>
      <c r="H134" s="1206"/>
      <c r="I134" s="743"/>
      <c r="J134" s="742"/>
      <c r="K134" s="743"/>
      <c r="L134" s="744"/>
    </row>
    <row r="135" spans="1:14" ht="22.15" customHeight="1">
      <c r="A135" s="1127" t="s">
        <v>619</v>
      </c>
      <c r="B135" s="1146" t="s">
        <v>620</v>
      </c>
      <c r="C135" s="1207" t="s">
        <v>87</v>
      </c>
      <c r="D135" s="1145">
        <v>1</v>
      </c>
      <c r="E135" s="1203"/>
      <c r="F135" s="742"/>
      <c r="G135" s="1203"/>
      <c r="H135" s="1206"/>
      <c r="I135" s="743"/>
      <c r="J135" s="742"/>
      <c r="K135" s="743"/>
      <c r="L135" s="744"/>
    </row>
    <row r="136" spans="1:14" ht="22.15" customHeight="1">
      <c r="A136" s="1149"/>
      <c r="B136" s="1150" t="s">
        <v>979</v>
      </c>
      <c r="C136" s="1194" t="s">
        <v>87</v>
      </c>
      <c r="D136" s="1152">
        <v>1</v>
      </c>
      <c r="E136" s="1123"/>
      <c r="F136" s="1153"/>
      <c r="G136" s="1124"/>
      <c r="H136" s="1123"/>
      <c r="I136" s="1125"/>
      <c r="J136" s="1125"/>
      <c r="K136" s="1125"/>
      <c r="L136" s="1126"/>
    </row>
    <row r="137" spans="1:14" ht="30">
      <c r="A137" s="1209"/>
      <c r="B137" s="1155" t="s">
        <v>705</v>
      </c>
      <c r="C137" s="1111" t="s">
        <v>99</v>
      </c>
      <c r="D137" s="1159">
        <v>18</v>
      </c>
      <c r="E137" s="1203"/>
      <c r="F137" s="742"/>
      <c r="G137" s="1203"/>
      <c r="H137" s="1206"/>
      <c r="I137" s="743"/>
      <c r="J137" s="742"/>
      <c r="K137" s="743"/>
      <c r="L137" s="744"/>
      <c r="M137" s="745">
        <f>+D137*'2.THOP-NC+MTC'!F67</f>
        <v>306</v>
      </c>
      <c r="N137" s="745">
        <f>3+6+6+6+12+6+6+6</f>
        <v>51</v>
      </c>
    </row>
    <row r="138" spans="1:14" ht="30">
      <c r="A138" s="1209"/>
      <c r="B138" s="1155" t="s">
        <v>709</v>
      </c>
      <c r="C138" s="1111" t="s">
        <v>99</v>
      </c>
      <c r="D138" s="1159">
        <v>6</v>
      </c>
      <c r="E138" s="1203"/>
      <c r="F138" s="742"/>
      <c r="G138" s="1203"/>
      <c r="H138" s="1206"/>
      <c r="I138" s="743"/>
      <c r="J138" s="742"/>
      <c r="K138" s="743"/>
      <c r="L138" s="744"/>
      <c r="M138" s="745">
        <f>+D138*'2.THOP-NC+MTC'!F67</f>
        <v>102</v>
      </c>
    </row>
    <row r="139" spans="1:14" ht="22.15" customHeight="1">
      <c r="A139" s="1209" t="s">
        <v>1154</v>
      </c>
      <c r="B139" s="1155" t="s">
        <v>994</v>
      </c>
      <c r="C139" s="1111" t="s">
        <v>99</v>
      </c>
      <c r="D139" s="1159">
        <v>24</v>
      </c>
      <c r="E139" s="1203"/>
      <c r="F139" s="742"/>
      <c r="G139" s="1203"/>
      <c r="H139" s="1206"/>
      <c r="I139" s="743"/>
      <c r="J139" s="742"/>
      <c r="K139" s="743"/>
      <c r="L139" s="744"/>
    </row>
    <row r="140" spans="1:14" s="1139" customFormat="1" ht="22.15" customHeight="1">
      <c r="A140" s="1117"/>
      <c r="B140" s="1210" t="s">
        <v>706</v>
      </c>
      <c r="C140" s="1111" t="s">
        <v>86</v>
      </c>
      <c r="D140" s="1145">
        <v>2</v>
      </c>
      <c r="E140" s="1203"/>
      <c r="F140" s="742"/>
      <c r="G140" s="1211"/>
      <c r="H140" s="1212"/>
      <c r="I140" s="743"/>
      <c r="J140" s="742"/>
      <c r="K140" s="743"/>
      <c r="L140" s="744"/>
    </row>
    <row r="141" spans="1:14" ht="22.15" customHeight="1">
      <c r="A141" s="1117"/>
      <c r="B141" s="1155" t="s">
        <v>707</v>
      </c>
      <c r="C141" s="1111" t="s">
        <v>86</v>
      </c>
      <c r="D141" s="1159">
        <v>2</v>
      </c>
      <c r="E141" s="1112"/>
      <c r="F141" s="742"/>
      <c r="G141" s="742"/>
      <c r="H141" s="742"/>
      <c r="I141" s="743"/>
      <c r="J141" s="742"/>
      <c r="K141" s="743"/>
      <c r="L141" s="744"/>
      <c r="N141" s="1195"/>
    </row>
    <row r="142" spans="1:14" ht="45">
      <c r="A142" s="1117"/>
      <c r="B142" s="1155" t="s">
        <v>708</v>
      </c>
      <c r="C142" s="1111" t="s">
        <v>86</v>
      </c>
      <c r="D142" s="1159">
        <v>6</v>
      </c>
      <c r="E142" s="1112"/>
      <c r="F142" s="742"/>
      <c r="G142" s="742"/>
      <c r="H142" s="742"/>
      <c r="I142" s="743"/>
      <c r="J142" s="742"/>
      <c r="K142" s="743"/>
      <c r="L142" s="744"/>
      <c r="N142" s="1195"/>
    </row>
    <row r="143" spans="1:14" ht="45">
      <c r="A143" s="1117"/>
      <c r="B143" s="1155" t="s">
        <v>710</v>
      </c>
      <c r="C143" s="1111" t="s">
        <v>86</v>
      </c>
      <c r="D143" s="1159">
        <v>2</v>
      </c>
      <c r="E143" s="1112"/>
      <c r="F143" s="742"/>
      <c r="G143" s="742"/>
      <c r="H143" s="742"/>
      <c r="I143" s="743"/>
      <c r="J143" s="742"/>
      <c r="K143" s="743"/>
      <c r="L143" s="744"/>
      <c r="N143" s="1195"/>
    </row>
    <row r="144" spans="1:14" ht="22.15" customHeight="1">
      <c r="A144" s="1117"/>
      <c r="B144" s="1155" t="s">
        <v>711</v>
      </c>
      <c r="C144" s="1111" t="s">
        <v>86</v>
      </c>
      <c r="D144" s="1159">
        <v>3</v>
      </c>
      <c r="E144" s="1112"/>
      <c r="F144" s="742"/>
      <c r="G144" s="742"/>
      <c r="H144" s="742"/>
      <c r="I144" s="743"/>
      <c r="J144" s="742"/>
      <c r="K144" s="743"/>
      <c r="L144" s="744"/>
      <c r="N144" s="1195"/>
    </row>
    <row r="145" spans="1:19" ht="22.15" customHeight="1">
      <c r="A145" s="1117"/>
      <c r="B145" s="1155" t="s">
        <v>712</v>
      </c>
      <c r="C145" s="1111" t="s">
        <v>86</v>
      </c>
      <c r="D145" s="1159">
        <v>1</v>
      </c>
      <c r="E145" s="1112"/>
      <c r="F145" s="742"/>
      <c r="G145" s="742"/>
      <c r="H145" s="742"/>
      <c r="I145" s="743"/>
      <c r="J145" s="742"/>
      <c r="K145" s="743"/>
      <c r="L145" s="744"/>
      <c r="N145" s="1195"/>
    </row>
    <row r="146" spans="1:19" ht="22.15" customHeight="1">
      <c r="A146" s="1109" t="s">
        <v>562</v>
      </c>
      <c r="B146" s="1110"/>
      <c r="C146" s="1111"/>
      <c r="D146" s="1111"/>
      <c r="E146" s="1112"/>
      <c r="F146" s="1112"/>
      <c r="G146" s="1113"/>
      <c r="H146" s="1112"/>
      <c r="I146" s="1112"/>
      <c r="J146" s="1112"/>
      <c r="K146" s="742"/>
      <c r="L146" s="1114"/>
    </row>
    <row r="147" spans="1:19" ht="22.15" customHeight="1">
      <c r="A147" s="1109" t="s">
        <v>285</v>
      </c>
      <c r="B147" s="1110"/>
      <c r="C147" s="1111"/>
      <c r="D147" s="1111"/>
      <c r="E147" s="1112"/>
      <c r="F147" s="1112"/>
      <c r="G147" s="1113"/>
      <c r="H147" s="1112"/>
      <c r="I147" s="1112"/>
      <c r="J147" s="1112"/>
      <c r="K147" s="1112"/>
      <c r="L147" s="1114"/>
    </row>
    <row r="148" spans="1:19" ht="22.15" customHeight="1">
      <c r="A148" s="1117" t="s">
        <v>40</v>
      </c>
      <c r="B148" s="1118" t="s">
        <v>252</v>
      </c>
      <c r="C148" s="1111"/>
      <c r="D148" s="1111"/>
      <c r="E148" s="1112"/>
      <c r="F148" s="1112"/>
      <c r="G148" s="1113"/>
      <c r="H148" s="1112"/>
      <c r="I148" s="1213"/>
      <c r="J148" s="1213"/>
      <c r="K148" s="1213"/>
      <c r="L148" s="1214"/>
    </row>
    <row r="149" spans="1:19" ht="22.15" customHeight="1">
      <c r="A149" s="1149" t="s">
        <v>253</v>
      </c>
      <c r="B149" s="1150" t="s">
        <v>878</v>
      </c>
      <c r="C149" s="1194" t="s">
        <v>591</v>
      </c>
      <c r="D149" s="1152">
        <v>1</v>
      </c>
      <c r="E149" s="1123"/>
      <c r="F149" s="1153"/>
      <c r="G149" s="1124"/>
      <c r="H149" s="1123"/>
      <c r="I149" s="1125"/>
      <c r="J149" s="1125"/>
      <c r="K149" s="1125"/>
      <c r="L149" s="1126"/>
    </row>
    <row r="150" spans="1:19" ht="22.15" customHeight="1">
      <c r="A150" s="1127"/>
      <c r="B150" s="1128" t="s">
        <v>599</v>
      </c>
      <c r="C150" s="1129" t="s">
        <v>89</v>
      </c>
      <c r="D150" s="1130">
        <v>211.20500000000001</v>
      </c>
      <c r="E150" s="742"/>
      <c r="F150" s="742"/>
      <c r="G150" s="1113"/>
      <c r="H150" s="1112"/>
      <c r="I150" s="742"/>
      <c r="J150" s="742"/>
      <c r="K150" s="743"/>
      <c r="L150" s="1131"/>
    </row>
    <row r="151" spans="1:19" ht="22.15" customHeight="1">
      <c r="A151" s="1127"/>
      <c r="B151" s="1128" t="s">
        <v>600</v>
      </c>
      <c r="C151" s="1129" t="s">
        <v>91</v>
      </c>
      <c r="D151" s="1130">
        <v>0.67400000000000004</v>
      </c>
      <c r="E151" s="742"/>
      <c r="F151" s="742"/>
      <c r="G151" s="1113"/>
      <c r="H151" s="1112"/>
      <c r="I151" s="742"/>
      <c r="J151" s="742"/>
      <c r="K151" s="743"/>
      <c r="L151" s="1131"/>
    </row>
    <row r="152" spans="1:19" ht="22.15" customHeight="1">
      <c r="A152" s="1127"/>
      <c r="B152" s="1128" t="s">
        <v>592</v>
      </c>
      <c r="C152" s="1129" t="s">
        <v>91</v>
      </c>
      <c r="D152" s="1130">
        <v>0.40899999999999997</v>
      </c>
      <c r="E152" s="742"/>
      <c r="F152" s="742"/>
      <c r="G152" s="1113"/>
      <c r="H152" s="1112"/>
      <c r="I152" s="742"/>
      <c r="J152" s="742"/>
      <c r="K152" s="743"/>
      <c r="L152" s="1131"/>
    </row>
    <row r="153" spans="1:19" ht="22.15" customHeight="1">
      <c r="A153" s="1127"/>
      <c r="B153" s="1128" t="s">
        <v>594</v>
      </c>
      <c r="C153" s="1129" t="s">
        <v>91</v>
      </c>
      <c r="D153" s="1130">
        <v>0.14899999999999999</v>
      </c>
      <c r="E153" s="742"/>
      <c r="F153" s="742"/>
      <c r="G153" s="1113"/>
      <c r="H153" s="1112"/>
      <c r="I153" s="742"/>
      <c r="J153" s="742"/>
      <c r="K153" s="743"/>
      <c r="L153" s="1131"/>
    </row>
    <row r="154" spans="1:19" ht="22.15" customHeight="1">
      <c r="A154" s="1127" t="s">
        <v>595</v>
      </c>
      <c r="B154" s="1128" t="s">
        <v>596</v>
      </c>
      <c r="C154" s="1129" t="s">
        <v>91</v>
      </c>
      <c r="D154" s="1135" t="s">
        <v>1584</v>
      </c>
      <c r="E154" s="742"/>
      <c r="F154" s="742"/>
      <c r="G154" s="742"/>
      <c r="H154" s="742"/>
      <c r="I154" s="742"/>
      <c r="J154" s="742"/>
      <c r="K154" s="743"/>
      <c r="L154" s="1131"/>
    </row>
    <row r="155" spans="1:19" ht="22.15" customHeight="1">
      <c r="A155" s="1127" t="s">
        <v>597</v>
      </c>
      <c r="B155" s="1128" t="s">
        <v>601</v>
      </c>
      <c r="C155" s="1129" t="s">
        <v>91</v>
      </c>
      <c r="D155" s="1137"/>
      <c r="E155" s="742"/>
      <c r="F155" s="742"/>
      <c r="G155" s="742"/>
      <c r="H155" s="742"/>
      <c r="I155" s="742"/>
      <c r="J155" s="742"/>
      <c r="K155" s="743"/>
      <c r="L155" s="1131"/>
    </row>
    <row r="156" spans="1:19" ht="22.15" customHeight="1">
      <c r="A156" s="1127" t="s">
        <v>235</v>
      </c>
      <c r="B156" s="1128" t="s">
        <v>598</v>
      </c>
      <c r="C156" s="1129" t="s">
        <v>91</v>
      </c>
      <c r="D156" s="1130">
        <v>0.76600000000000001</v>
      </c>
      <c r="E156" s="742"/>
      <c r="F156" s="742"/>
      <c r="G156" s="742"/>
      <c r="H156" s="742"/>
      <c r="I156" s="742"/>
      <c r="J156" s="742"/>
      <c r="K156" s="743"/>
      <c r="L156" s="1131"/>
      <c r="S156" s="1139"/>
    </row>
    <row r="157" spans="1:19" ht="22.15" customHeight="1">
      <c r="A157" s="1149" t="s">
        <v>590</v>
      </c>
      <c r="B157" s="1150" t="s">
        <v>1025</v>
      </c>
      <c r="C157" s="1194" t="s">
        <v>51</v>
      </c>
      <c r="D157" s="1152">
        <v>1</v>
      </c>
      <c r="E157" s="1123"/>
      <c r="F157" s="1153"/>
      <c r="G157" s="1124"/>
      <c r="H157" s="1123"/>
      <c r="I157" s="1125"/>
      <c r="J157" s="1125"/>
      <c r="K157" s="1125"/>
      <c r="L157" s="1126"/>
    </row>
    <row r="158" spans="1:19" ht="30">
      <c r="A158" s="1127"/>
      <c r="B158" s="1128" t="s">
        <v>663</v>
      </c>
      <c r="C158" s="1129" t="s">
        <v>622</v>
      </c>
      <c r="D158" s="1145">
        <v>1</v>
      </c>
      <c r="E158" s="742"/>
      <c r="F158" s="742"/>
      <c r="G158" s="742"/>
      <c r="H158" s="742"/>
      <c r="I158" s="742"/>
      <c r="J158" s="742"/>
      <c r="K158" s="743"/>
      <c r="L158" s="1131"/>
      <c r="S158" s="1139"/>
    </row>
    <row r="159" spans="1:19" ht="22.15" customHeight="1">
      <c r="A159" s="1127"/>
      <c r="B159" s="1128" t="s">
        <v>1024</v>
      </c>
      <c r="C159" s="1129" t="s">
        <v>89</v>
      </c>
      <c r="D159" s="1145">
        <v>0.89600000000000002</v>
      </c>
      <c r="E159" s="742"/>
      <c r="F159" s="742"/>
      <c r="G159" s="742"/>
      <c r="H159" s="742"/>
      <c r="I159" s="742"/>
      <c r="J159" s="742"/>
      <c r="K159" s="743"/>
      <c r="L159" s="1131"/>
      <c r="S159" s="1139"/>
    </row>
    <row r="160" spans="1:19" ht="22.15" customHeight="1">
      <c r="A160" s="1127"/>
      <c r="B160" s="1128" t="s">
        <v>1026</v>
      </c>
      <c r="C160" s="1129" t="s">
        <v>86</v>
      </c>
      <c r="D160" s="1145">
        <v>1</v>
      </c>
      <c r="E160" s="742"/>
      <c r="F160" s="742"/>
      <c r="G160" s="742"/>
      <c r="H160" s="742"/>
      <c r="I160" s="742"/>
      <c r="J160" s="742"/>
      <c r="K160" s="743"/>
      <c r="L160" s="1131"/>
      <c r="S160" s="1139"/>
    </row>
    <row r="161" spans="1:19" ht="22.15" customHeight="1">
      <c r="A161" s="1127"/>
      <c r="B161" s="1128" t="s">
        <v>664</v>
      </c>
      <c r="C161" s="1129" t="s">
        <v>86</v>
      </c>
      <c r="D161" s="1145">
        <v>1</v>
      </c>
      <c r="E161" s="742"/>
      <c r="F161" s="742"/>
      <c r="G161" s="742"/>
      <c r="H161" s="742"/>
      <c r="I161" s="742"/>
      <c r="J161" s="742"/>
      <c r="K161" s="743"/>
      <c r="L161" s="1131"/>
      <c r="S161" s="1139"/>
    </row>
    <row r="162" spans="1:19" ht="22.15" customHeight="1">
      <c r="A162" s="1127"/>
      <c r="B162" s="1128" t="s">
        <v>665</v>
      </c>
      <c r="C162" s="1129" t="s">
        <v>86</v>
      </c>
      <c r="D162" s="1145">
        <v>1</v>
      </c>
      <c r="E162" s="742"/>
      <c r="F162" s="742"/>
      <c r="G162" s="742"/>
      <c r="H162" s="742"/>
      <c r="I162" s="742"/>
      <c r="J162" s="742"/>
      <c r="K162" s="743"/>
      <c r="L162" s="1131"/>
      <c r="S162" s="1139"/>
    </row>
    <row r="163" spans="1:19" ht="22.15" customHeight="1">
      <c r="A163" s="1127"/>
      <c r="B163" s="1128" t="s">
        <v>666</v>
      </c>
      <c r="C163" s="1129" t="s">
        <v>86</v>
      </c>
      <c r="D163" s="1145">
        <v>1</v>
      </c>
      <c r="E163" s="742"/>
      <c r="F163" s="742"/>
      <c r="G163" s="742"/>
      <c r="H163" s="742"/>
      <c r="I163" s="742"/>
      <c r="J163" s="742"/>
      <c r="K163" s="743"/>
      <c r="L163" s="1131"/>
      <c r="S163" s="1139"/>
    </row>
    <row r="164" spans="1:19" ht="27" customHeight="1">
      <c r="A164" s="1127"/>
      <c r="B164" s="1128" t="s">
        <v>555</v>
      </c>
      <c r="C164" s="1129" t="s">
        <v>86</v>
      </c>
      <c r="D164" s="1145">
        <v>3</v>
      </c>
      <c r="E164" s="742"/>
      <c r="F164" s="742"/>
      <c r="G164" s="742"/>
      <c r="H164" s="742"/>
      <c r="I164" s="742"/>
      <c r="J164" s="742"/>
      <c r="K164" s="743"/>
      <c r="L164" s="1131"/>
      <c r="S164" s="1139"/>
    </row>
    <row r="165" spans="1:19" ht="22.15" customHeight="1">
      <c r="A165" s="1127" t="s">
        <v>670</v>
      </c>
      <c r="B165" s="1128" t="s">
        <v>623</v>
      </c>
      <c r="C165" s="1129" t="s">
        <v>87</v>
      </c>
      <c r="D165" s="1145">
        <v>1</v>
      </c>
      <c r="E165" s="742"/>
      <c r="F165" s="742"/>
      <c r="G165" s="742"/>
      <c r="H165" s="1112"/>
      <c r="I165" s="742"/>
      <c r="J165" s="742"/>
      <c r="K165" s="743"/>
      <c r="L165" s="1131"/>
      <c r="N165" s="768"/>
    </row>
    <row r="166" spans="1:19" ht="22.15" customHeight="1">
      <c r="A166" s="1127" t="s">
        <v>194</v>
      </c>
      <c r="B166" s="1128" t="s">
        <v>238</v>
      </c>
      <c r="C166" s="1129" t="s">
        <v>168</v>
      </c>
      <c r="D166" s="1145">
        <v>1</v>
      </c>
      <c r="E166" s="742"/>
      <c r="F166" s="742"/>
      <c r="G166" s="742"/>
      <c r="H166" s="742"/>
      <c r="I166" s="742"/>
      <c r="J166" s="742"/>
      <c r="K166" s="743"/>
      <c r="L166" s="1131"/>
      <c r="N166" s="1139"/>
      <c r="S166" s="1139"/>
    </row>
    <row r="167" spans="1:19" ht="22.15" customHeight="1">
      <c r="A167" s="1117" t="s">
        <v>41</v>
      </c>
      <c r="B167" s="1118" t="s">
        <v>604</v>
      </c>
      <c r="C167" s="1111"/>
      <c r="D167" s="1111" t="s">
        <v>87</v>
      </c>
      <c r="E167" s="1112"/>
      <c r="F167" s="1112"/>
      <c r="G167" s="742"/>
      <c r="H167" s="742"/>
      <c r="I167" s="1112"/>
      <c r="J167" s="1112"/>
      <c r="K167" s="1112"/>
      <c r="L167" s="1114"/>
    </row>
    <row r="168" spans="1:19" ht="22.15" customHeight="1">
      <c r="A168" s="1149">
        <v>1</v>
      </c>
      <c r="B168" s="1150" t="s">
        <v>952</v>
      </c>
      <c r="C168" s="1194" t="s">
        <v>605</v>
      </c>
      <c r="D168" s="1152">
        <v>1</v>
      </c>
      <c r="E168" s="1123"/>
      <c r="F168" s="1153"/>
      <c r="G168" s="1124"/>
      <c r="H168" s="1123"/>
      <c r="I168" s="1125"/>
      <c r="J168" s="1125"/>
      <c r="K168" s="1125"/>
      <c r="L168" s="1126"/>
    </row>
    <row r="169" spans="1:19" ht="22.15" customHeight="1">
      <c r="A169" s="1154"/>
      <c r="B169" s="1155" t="s">
        <v>955</v>
      </c>
      <c r="C169" s="1111" t="s">
        <v>90</v>
      </c>
      <c r="D169" s="1111">
        <v>1</v>
      </c>
      <c r="E169" s="1112"/>
      <c r="F169" s="1166"/>
      <c r="G169" s="1113"/>
      <c r="H169" s="1112"/>
      <c r="I169" s="742"/>
      <c r="J169" s="742"/>
      <c r="K169" s="743"/>
      <c r="L169" s="1131"/>
    </row>
    <row r="170" spans="1:19" ht="22.15" customHeight="1">
      <c r="A170" s="1154"/>
      <c r="B170" s="1157" t="s">
        <v>953</v>
      </c>
      <c r="C170" s="1129" t="s">
        <v>89</v>
      </c>
      <c r="D170" s="1158">
        <v>0.12</v>
      </c>
      <c r="E170" s="742"/>
      <c r="F170" s="742"/>
      <c r="G170" s="1113"/>
      <c r="H170" s="1112"/>
      <c r="I170" s="742"/>
      <c r="J170" s="742"/>
      <c r="K170" s="743"/>
      <c r="L170" s="1131"/>
    </row>
    <row r="171" spans="1:19" ht="22.15" customHeight="1">
      <c r="A171" s="1160" t="s">
        <v>228</v>
      </c>
      <c r="B171" s="1155" t="s">
        <v>954</v>
      </c>
      <c r="C171" s="1111" t="s">
        <v>90</v>
      </c>
      <c r="D171" s="1111">
        <v>1</v>
      </c>
      <c r="E171" s="1112"/>
      <c r="F171" s="742"/>
      <c r="G171" s="742"/>
      <c r="H171" s="742"/>
      <c r="I171" s="742"/>
      <c r="J171" s="742"/>
      <c r="K171" s="743"/>
      <c r="L171" s="1131"/>
      <c r="M171" s="745" t="s">
        <v>241</v>
      </c>
      <c r="N171" s="745">
        <v>2225101</v>
      </c>
    </row>
    <row r="172" spans="1:19" ht="22.15" customHeight="1">
      <c r="A172" s="1140" t="s">
        <v>41</v>
      </c>
      <c r="B172" s="1215" t="s">
        <v>260</v>
      </c>
      <c r="C172" s="1111"/>
      <c r="D172" s="1111"/>
      <c r="E172" s="1112"/>
      <c r="F172" s="1203"/>
      <c r="G172" s="1113"/>
      <c r="H172" s="1112"/>
      <c r="I172" s="1213"/>
      <c r="J172" s="1213"/>
      <c r="K172" s="1213"/>
      <c r="L172" s="1131"/>
    </row>
    <row r="173" spans="1:19" ht="22.15" customHeight="1">
      <c r="A173" s="1149" t="s">
        <v>253</v>
      </c>
      <c r="B173" s="1150" t="s">
        <v>1010</v>
      </c>
      <c r="C173" s="1194" t="s">
        <v>51</v>
      </c>
      <c r="D173" s="1152">
        <v>1</v>
      </c>
      <c r="E173" s="1123"/>
      <c r="F173" s="1153"/>
      <c r="G173" s="1124"/>
      <c r="H173" s="1123"/>
      <c r="I173" s="1125"/>
      <c r="J173" s="1125"/>
      <c r="K173" s="1125"/>
      <c r="L173" s="1126"/>
    </row>
    <row r="174" spans="1:19" ht="22.15" customHeight="1">
      <c r="A174" s="1140"/>
      <c r="B174" s="1146" t="s">
        <v>1006</v>
      </c>
      <c r="C174" s="1111" t="s">
        <v>51</v>
      </c>
      <c r="D174" s="1147">
        <v>1</v>
      </c>
      <c r="E174" s="1112"/>
      <c r="F174" s="1203"/>
      <c r="G174" s="1113"/>
      <c r="H174" s="1112"/>
      <c r="I174" s="1213"/>
      <c r="J174" s="742"/>
      <c r="K174" s="1213"/>
      <c r="L174" s="1214"/>
    </row>
    <row r="175" spans="1:19" ht="22.15" customHeight="1">
      <c r="A175" s="1140"/>
      <c r="B175" s="1146" t="s">
        <v>1007</v>
      </c>
      <c r="C175" s="1111" t="s">
        <v>86</v>
      </c>
      <c r="D175" s="1147">
        <v>1</v>
      </c>
      <c r="E175" s="1112"/>
      <c r="F175" s="1203"/>
      <c r="G175" s="1113"/>
      <c r="H175" s="1112"/>
      <c r="I175" s="1213"/>
      <c r="J175" s="742"/>
      <c r="K175" s="1213"/>
      <c r="L175" s="1214"/>
    </row>
    <row r="176" spans="1:19" ht="22.15" customHeight="1">
      <c r="A176" s="1140"/>
      <c r="B176" s="1146" t="s">
        <v>1008</v>
      </c>
      <c r="C176" s="1111" t="s">
        <v>51</v>
      </c>
      <c r="D176" s="1147">
        <v>1</v>
      </c>
      <c r="E176" s="1112"/>
      <c r="F176" s="1203"/>
      <c r="G176" s="1113"/>
      <c r="H176" s="1112"/>
      <c r="I176" s="1213"/>
      <c r="J176" s="742"/>
      <c r="K176" s="1213"/>
      <c r="L176" s="1214"/>
    </row>
    <row r="177" spans="1:13" ht="22.15" customHeight="1">
      <c r="A177" s="1149" t="s">
        <v>590</v>
      </c>
      <c r="B177" s="1150" t="s">
        <v>877</v>
      </c>
      <c r="C177" s="1194" t="s">
        <v>51</v>
      </c>
      <c r="D177" s="1152">
        <v>1</v>
      </c>
      <c r="E177" s="1123"/>
      <c r="F177" s="1153"/>
      <c r="G177" s="1124"/>
      <c r="H177" s="1123"/>
      <c r="I177" s="1125"/>
      <c r="J177" s="1125"/>
      <c r="K177" s="1125"/>
      <c r="L177" s="1126"/>
    </row>
    <row r="178" spans="1:13" ht="22.15" customHeight="1">
      <c r="A178" s="1140"/>
      <c r="B178" s="1146" t="s">
        <v>1009</v>
      </c>
      <c r="C178" s="1111" t="s">
        <v>51</v>
      </c>
      <c r="D178" s="1147">
        <v>1</v>
      </c>
      <c r="E178" s="1112"/>
      <c r="F178" s="1203"/>
      <c r="G178" s="1113"/>
      <c r="H178" s="1112"/>
      <c r="I178" s="1213"/>
      <c r="J178" s="742"/>
      <c r="K178" s="1213"/>
      <c r="L178" s="1214"/>
      <c r="M178" s="1116"/>
    </row>
    <row r="179" spans="1:13" ht="22.15" customHeight="1">
      <c r="A179" s="1140"/>
      <c r="B179" s="1146" t="s">
        <v>1007</v>
      </c>
      <c r="C179" s="1111" t="s">
        <v>86</v>
      </c>
      <c r="D179" s="1147">
        <v>1</v>
      </c>
      <c r="E179" s="1112"/>
      <c r="F179" s="1203"/>
      <c r="G179" s="1113"/>
      <c r="H179" s="1112"/>
      <c r="I179" s="1213"/>
      <c r="J179" s="742"/>
      <c r="K179" s="1213"/>
      <c r="L179" s="1214"/>
    </row>
    <row r="180" spans="1:13" ht="22.15" customHeight="1">
      <c r="A180" s="1140"/>
      <c r="B180" s="1146" t="s">
        <v>877</v>
      </c>
      <c r="C180" s="1111" t="s">
        <v>51</v>
      </c>
      <c r="D180" s="1147">
        <v>1</v>
      </c>
      <c r="E180" s="1112"/>
      <c r="F180" s="1203"/>
      <c r="G180" s="1113"/>
      <c r="H180" s="1112"/>
      <c r="I180" s="1213"/>
      <c r="J180" s="742"/>
      <c r="K180" s="1213"/>
      <c r="L180" s="1214"/>
    </row>
  </sheetData>
  <autoFilter ref="A7:AB180" xr:uid="{00000000-0001-0000-0600-000000000000}"/>
  <mergeCells count="19">
    <mergeCell ref="E127:F127"/>
    <mergeCell ref="D16:D17"/>
    <mergeCell ref="D24:D25"/>
    <mergeCell ref="D154:D155"/>
    <mergeCell ref="W6:AB6"/>
    <mergeCell ref="A2:L2"/>
    <mergeCell ref="E5:H5"/>
    <mergeCell ref="I5:L5"/>
    <mergeCell ref="A5:A6"/>
    <mergeCell ref="B5:B6"/>
    <mergeCell ref="C5:C6"/>
    <mergeCell ref="D5:D6"/>
    <mergeCell ref="A3:L3"/>
    <mergeCell ref="A146:B146"/>
    <mergeCell ref="A147:B147"/>
    <mergeCell ref="Q6:R6"/>
    <mergeCell ref="A9:B9"/>
    <mergeCell ref="A8:B8"/>
    <mergeCell ref="E119:F119"/>
  </mergeCells>
  <phoneticPr fontId="0" type="noConversion"/>
  <printOptions horizontalCentered="1"/>
  <pageMargins left="0.196850393700787" right="0.15748031496063" top="0.39370078740157499" bottom="0.39370078740157499" header="0.31496062992126" footer="0.118110236220472"/>
  <pageSetup paperSize="9" scale="70" firstPageNumber="5"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Bia tap 1</vt:lpstr>
      <vt:lpstr>Bia tap 2</vt:lpstr>
      <vt:lpstr>Bia tap 3</vt:lpstr>
      <vt:lpstr>1.Thop Sua</vt:lpstr>
      <vt:lpstr>1.Thop no in</vt:lpstr>
      <vt:lpstr>CDL</vt:lpstr>
      <vt:lpstr>1</vt:lpstr>
      <vt:lpstr>TIEN LUONG</vt:lpstr>
      <vt:lpstr>B. CHI TIET</vt:lpstr>
      <vt:lpstr>Gia VT</vt:lpstr>
      <vt:lpstr>TK TA</vt:lpstr>
      <vt:lpstr>TK TBA</vt:lpstr>
      <vt:lpstr>TBA-ko</vt:lpstr>
      <vt:lpstr>TK HA AP</vt:lpstr>
      <vt:lpstr>THKĐ</vt:lpstr>
      <vt:lpstr>3.THCPKĐ</vt:lpstr>
      <vt:lpstr>Thop-Thí nghiệm</vt:lpstr>
      <vt:lpstr>Bang tong hop Kiem dinh (TT05)</vt:lpstr>
      <vt:lpstr>5.VTTH</vt:lpstr>
      <vt:lpstr>May TC</vt:lpstr>
      <vt:lpstr>4.VCBD</vt:lpstr>
      <vt:lpstr>2.THOP-NC+MTC</vt:lpstr>
      <vt:lpstr>Pt ca may</vt:lpstr>
      <vt:lpstr>cuocvc</vt:lpstr>
      <vt:lpstr>'1'!Print_Titles</vt:lpstr>
      <vt:lpstr>'2.THOP-NC+MTC'!Print_Titles</vt:lpstr>
      <vt:lpstr>'5.VTTH'!Print_Titles</vt:lpstr>
      <vt:lpstr>'B. CHI TIET'!Print_Titles</vt:lpstr>
      <vt:lpstr>CDL!Print_Titles</vt:lpstr>
      <vt:lpstr>'TK HA AP'!Print_Titles</vt:lpstr>
      <vt:lpstr>'TK TA'!Print_Titles</vt:lpstr>
      <vt:lpstr>'TK TBA'!Print_Titles</vt:lpstr>
    </vt:vector>
  </TitlesOfParts>
  <Company>DLTG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 Tin</dc:creator>
  <cp:lastModifiedBy>Lý Hiền</cp:lastModifiedBy>
  <cp:lastPrinted>2026-05-06T07:31:21Z</cp:lastPrinted>
  <dcterms:created xsi:type="dcterms:W3CDTF">2005-05-18T09:10:54Z</dcterms:created>
  <dcterms:modified xsi:type="dcterms:W3CDTF">2026-05-11T06:57:14Z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2025-10-31T03:22:50Z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e016b98a-f228-4a9a-aaa7-ea3e0ff3b962</vt:lpwstr>
  </property>
  <property fmtid="{D5CDD505-2E9C-101B-9397-08002B2CF9AE}" pid="7" name="MSIP_Label_defa4170-0d19-0005-0004-bc88714345d2_ActionId">
    <vt:lpwstr>df208d37-910a-48f2-8721-c41661bc7ebb</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